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D:\00000 ALL\01データ\01緑が丘ＹＦＣ\190908_後期リーグ戦\05 組合せ・対戦表\"/>
    </mc:Choice>
  </mc:AlternateContent>
  <xr:revisionPtr revIDLastSave="0" documentId="13_ncr:1_{33775D04-59D5-431B-A778-FED309C350F2}" xr6:coauthVersionLast="44" xr6:coauthVersionMax="44" xr10:uidLastSave="{00000000-0000-0000-0000-000000000000}"/>
  <bookViews>
    <workbookView xWindow="-120" yWindow="-120" windowWidth="29040" windowHeight="15990" tabRatio="879" firstSheet="3" activeTab="10" xr2:uid="{00000000-000D-0000-FFFF-FFFF00000000}"/>
  </bookViews>
  <sheets>
    <sheet name="U12組合せ" sheetId="1" r:id="rId1"/>
    <sheet name="U12対戦スケジュール" sheetId="2" r:id="rId2"/>
    <sheet name="●" sheetId="3" r:id="rId3"/>
    <sheet name="Ａブロック対戦表" sheetId="4" r:id="rId4"/>
    <sheet name="Ａ＋Ｂブロック対戦表" sheetId="11" r:id="rId5"/>
    <sheet name="Ｂブロック対戦表" sheetId="5" r:id="rId6"/>
    <sheet name="Ｃブロック対戦表" sheetId="6" r:id="rId7"/>
    <sheet name="Ｃ＋Ｄブロック対戦表" sheetId="12" r:id="rId8"/>
    <sheet name="Ｄブロック対戦表" sheetId="7" r:id="rId9"/>
    <sheet name="■" sheetId="8" r:id="rId10"/>
    <sheet name="Ａ～Dブロック星取表" sheetId="9" r:id="rId11"/>
    <sheet name="U１2順位 " sheetId="10" state="hidden" r:id="rId12"/>
  </sheets>
  <definedNames>
    <definedName name="_xlnm.Print_Area" localSheetId="9">■!$A$1:$G$39</definedName>
    <definedName name="_xlnm.Print_Area" localSheetId="10">'Ａ～Dブロック星取表'!$A$1:$AZ$87</definedName>
    <definedName name="_xlnm.Print_Area" localSheetId="4">'Ａ＋Ｂブロック対戦表'!#REF!</definedName>
    <definedName name="_xlnm.Print_Area" localSheetId="3">Ａブロック対戦表!$A$1:$AS$155</definedName>
    <definedName name="_xlnm.Print_Area" localSheetId="5">Ｂブロック対戦表!$A$1:$AS$124</definedName>
    <definedName name="_xlnm.Print_Area" localSheetId="7">'Ｃ＋Ｄブロック対戦表'!$A$1:$AQ$124</definedName>
    <definedName name="_xlnm.Print_Area" localSheetId="6">Ｃブロック対戦表!$A$1:$AS$124</definedName>
    <definedName name="_xlnm.Print_Area" localSheetId="8">Ｄブロック対戦表!$A$1:$AQ$124</definedName>
    <definedName name="_xlnm.Print_Area" localSheetId="11">'U１2順位 '!$A$1:$L$43</definedName>
    <definedName name="_xlnm.Print_Area" localSheetId="0">U12組合せ!$A$1:$L$68</definedName>
    <definedName name="_xlnm.Print_Area" localSheetId="1">U12対戦スケジュール!$A$1:$G$103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106" i="12" l="1"/>
  <c r="V108" i="12"/>
  <c r="V110" i="12"/>
  <c r="V112" i="12"/>
  <c r="V114" i="12"/>
  <c r="V116" i="12"/>
  <c r="N28" i="9"/>
  <c r="AB78" i="9"/>
  <c r="Z78" i="9"/>
  <c r="P72" i="9"/>
  <c r="N72" i="9"/>
  <c r="AB76" i="9"/>
  <c r="Z76" i="9"/>
  <c r="P70" i="9"/>
  <c r="N70" i="9"/>
  <c r="X76" i="9"/>
  <c r="V76" i="9"/>
  <c r="L70" i="9"/>
  <c r="J70" i="9"/>
  <c r="AB58" i="9"/>
  <c r="Z58" i="9"/>
  <c r="P52" i="9"/>
  <c r="N52" i="9"/>
  <c r="AB56" i="9"/>
  <c r="Z56" i="9"/>
  <c r="P50" i="9"/>
  <c r="N50" i="9"/>
  <c r="X56" i="9"/>
  <c r="V56" i="9"/>
  <c r="L50" i="9"/>
  <c r="J50" i="9"/>
  <c r="AB34" i="9"/>
  <c r="Z34" i="9"/>
  <c r="P28" i="9"/>
  <c r="AB32" i="9"/>
  <c r="Z32" i="9"/>
  <c r="P26" i="9"/>
  <c r="N26" i="9"/>
  <c r="X32" i="9"/>
  <c r="V32" i="9"/>
  <c r="AN40" i="9"/>
  <c r="AL40" i="9"/>
  <c r="AN38" i="9"/>
  <c r="AL38" i="9"/>
  <c r="AJ38" i="9"/>
  <c r="AH38" i="9"/>
  <c r="T96" i="7"/>
  <c r="G96" i="7"/>
  <c r="T65" i="7"/>
  <c r="G65" i="7"/>
  <c r="AG103" i="12"/>
  <c r="S103" i="12"/>
  <c r="E103" i="12"/>
  <c r="AG102" i="12"/>
  <c r="S102" i="12"/>
  <c r="E102" i="12"/>
  <c r="AG101" i="12"/>
  <c r="S101" i="12"/>
  <c r="E101" i="12"/>
  <c r="AG100" i="12"/>
  <c r="S100" i="12"/>
  <c r="E100" i="12"/>
  <c r="AG99" i="12"/>
  <c r="S99" i="12"/>
  <c r="E99" i="12"/>
  <c r="AG98" i="12"/>
  <c r="S98" i="12"/>
  <c r="E98" i="12"/>
  <c r="T96" i="12"/>
  <c r="G96" i="12"/>
  <c r="AG72" i="12"/>
  <c r="S72" i="12"/>
  <c r="E72" i="12"/>
  <c r="AG71" i="12"/>
  <c r="S71" i="12"/>
  <c r="E71" i="12"/>
  <c r="AG70" i="12"/>
  <c r="S70" i="12"/>
  <c r="E70" i="12"/>
  <c r="AG69" i="12"/>
  <c r="S69" i="12"/>
  <c r="E69" i="12"/>
  <c r="AG68" i="12"/>
  <c r="S68" i="12"/>
  <c r="E68" i="12"/>
  <c r="AG67" i="12"/>
  <c r="S67" i="12"/>
  <c r="E67" i="12"/>
  <c r="T65" i="12"/>
  <c r="G65" i="12"/>
  <c r="T96" i="6"/>
  <c r="G96" i="6"/>
  <c r="T65" i="6"/>
  <c r="G65" i="6"/>
  <c r="J108" i="5"/>
  <c r="AG100" i="5"/>
  <c r="J112" i="5" s="1"/>
  <c r="S100" i="5"/>
  <c r="J110" i="5" s="1"/>
  <c r="E100" i="5"/>
  <c r="AG99" i="5"/>
  <c r="J114" i="5" s="1"/>
  <c r="S99" i="5"/>
  <c r="E99" i="5"/>
  <c r="X108" i="5" s="1"/>
  <c r="AG98" i="5"/>
  <c r="S98" i="5"/>
  <c r="X112" i="5" s="1"/>
  <c r="E98" i="5"/>
  <c r="X110" i="5" s="1"/>
  <c r="T96" i="5"/>
  <c r="G96" i="5"/>
  <c r="J83" i="5"/>
  <c r="X75" i="5"/>
  <c r="T65" i="5"/>
  <c r="G65" i="5"/>
  <c r="X54" i="5"/>
  <c r="X46" i="5"/>
  <c r="J48" i="5"/>
  <c r="AG69" i="5"/>
  <c r="X77" i="5" s="1"/>
  <c r="S69" i="5"/>
  <c r="E69" i="5"/>
  <c r="AG68" i="5"/>
  <c r="X79" i="5" s="1"/>
  <c r="S68" i="5"/>
  <c r="J77" i="5" s="1"/>
  <c r="E68" i="5"/>
  <c r="AG67" i="5"/>
  <c r="S67" i="5"/>
  <c r="J79" i="5" s="1"/>
  <c r="E67" i="5"/>
  <c r="J81" i="5" s="1"/>
  <c r="AG38" i="5"/>
  <c r="S38" i="5"/>
  <c r="X48" i="5" s="1"/>
  <c r="E38" i="5"/>
  <c r="J46" i="5" s="1"/>
  <c r="AG37" i="5"/>
  <c r="S37" i="5"/>
  <c r="X52" i="5" s="1"/>
  <c r="E37" i="5"/>
  <c r="J50" i="5" s="1"/>
  <c r="AG36" i="5"/>
  <c r="S36" i="5"/>
  <c r="J52" i="5" s="1"/>
  <c r="E36" i="5"/>
  <c r="J54" i="5" s="1"/>
  <c r="AG7" i="5"/>
  <c r="AG6" i="5"/>
  <c r="AG5" i="5"/>
  <c r="S7" i="5"/>
  <c r="S6" i="5"/>
  <c r="S5" i="5"/>
  <c r="E7" i="5"/>
  <c r="E6" i="5"/>
  <c r="E5" i="5"/>
  <c r="X23" i="5"/>
  <c r="X21" i="5"/>
  <c r="X19" i="5"/>
  <c r="X17" i="5"/>
  <c r="X15" i="5"/>
  <c r="X13" i="5"/>
  <c r="J23" i="5"/>
  <c r="J21" i="5"/>
  <c r="J19" i="5"/>
  <c r="J17" i="5"/>
  <c r="J15" i="5"/>
  <c r="J13" i="5"/>
  <c r="T96" i="11"/>
  <c r="G96" i="11"/>
  <c r="J77" i="11"/>
  <c r="AG69" i="11"/>
  <c r="X77" i="11" s="1"/>
  <c r="AG68" i="11"/>
  <c r="X81" i="11" s="1"/>
  <c r="AG67" i="11"/>
  <c r="X85" i="11" s="1"/>
  <c r="T65" i="11"/>
  <c r="G65" i="11"/>
  <c r="X54" i="11"/>
  <c r="X50" i="11"/>
  <c r="J50" i="11"/>
  <c r="J46" i="11"/>
  <c r="AG38" i="11"/>
  <c r="AG37" i="11"/>
  <c r="X15" i="11"/>
  <c r="J23" i="11"/>
  <c r="AG7" i="11"/>
  <c r="X23" i="11" s="1"/>
  <c r="AG6" i="11"/>
  <c r="AG5" i="11"/>
  <c r="X19" i="11" s="1"/>
  <c r="T127" i="4"/>
  <c r="G127" i="4"/>
  <c r="T96" i="4"/>
  <c r="G96" i="4"/>
  <c r="T65" i="4"/>
  <c r="G65" i="4"/>
  <c r="V118" i="11"/>
  <c r="Q118" i="11"/>
  <c r="AI114" i="7"/>
  <c r="AI85" i="12"/>
  <c r="AI79" i="6"/>
  <c r="AI114" i="11"/>
  <c r="AI137" i="4"/>
  <c r="AI110" i="7"/>
  <c r="AI77" i="12"/>
  <c r="AI75" i="6"/>
  <c r="AI112" i="11"/>
  <c r="AI118" i="4"/>
  <c r="AI116" i="7"/>
  <c r="AI112" i="12"/>
  <c r="AI83" i="6"/>
  <c r="AI116" i="11"/>
  <c r="AI139" i="4"/>
  <c r="AI75" i="4"/>
  <c r="AI106" i="12"/>
  <c r="AI81" i="6"/>
  <c r="AI108" i="11"/>
  <c r="AI145" i="4"/>
  <c r="AI79" i="7"/>
  <c r="AI79" i="11"/>
  <c r="AI75" i="7"/>
  <c r="AI77" i="5"/>
  <c r="AI75" i="11"/>
  <c r="AI83" i="7"/>
  <c r="AI110" i="5"/>
  <c r="AI112" i="4"/>
  <c r="AI108" i="6"/>
  <c r="AI81" i="11"/>
  <c r="AI110" i="12"/>
  <c r="AI79" i="5"/>
  <c r="AI143" i="4"/>
  <c r="AI114" i="12"/>
  <c r="AI75" i="5"/>
  <c r="AI81" i="4"/>
  <c r="AI110" i="6"/>
  <c r="AI149" i="4"/>
  <c r="AI108" i="12"/>
  <c r="AI81" i="5"/>
  <c r="AI77" i="4"/>
  <c r="AI85" i="7"/>
  <c r="AI81" i="12"/>
  <c r="AI114" i="5"/>
  <c r="AI85" i="11"/>
  <c r="AI108" i="4"/>
  <c r="AI77" i="7"/>
  <c r="AI75" i="12"/>
  <c r="AI112" i="5"/>
  <c r="AI77" i="11"/>
  <c r="AI114" i="4"/>
  <c r="AI112" i="7"/>
  <c r="AI79" i="12"/>
  <c r="AI116" i="5"/>
  <c r="AI110" i="11"/>
  <c r="AI110" i="4"/>
  <c r="AI106" i="7"/>
  <c r="AI83" i="12"/>
  <c r="AI108" i="5"/>
  <c r="AI106" i="11"/>
  <c r="AI116" i="4"/>
  <c r="AI114" i="6"/>
  <c r="AI85" i="5"/>
  <c r="AI87" i="4"/>
  <c r="AI112" i="6"/>
  <c r="AI79" i="4"/>
  <c r="AI116" i="6"/>
  <c r="AI83" i="11"/>
  <c r="AI81" i="7"/>
  <c r="AI106" i="5"/>
  <c r="AI106" i="4"/>
  <c r="AI108" i="7"/>
  <c r="AI85" i="6"/>
  <c r="AI83" i="4"/>
  <c r="AI77" i="6"/>
  <c r="AI147" i="4"/>
  <c r="AI116" i="12"/>
  <c r="AI83" i="5"/>
  <c r="AI85" i="4"/>
  <c r="AI106" i="6"/>
  <c r="AI141" i="4"/>
  <c r="X81" i="5" l="1"/>
  <c r="J116" i="5"/>
  <c r="X114" i="5"/>
  <c r="J85" i="11"/>
  <c r="J44" i="5"/>
  <c r="J85" i="5"/>
  <c r="X83" i="5"/>
  <c r="X116" i="5"/>
  <c r="X44" i="5"/>
  <c r="X50" i="5"/>
  <c r="X85" i="5"/>
  <c r="J106" i="5"/>
  <c r="J19" i="11"/>
  <c r="J15" i="11"/>
  <c r="J81" i="11"/>
  <c r="J75" i="5"/>
  <c r="X106" i="5"/>
  <c r="V116" i="11"/>
  <c r="AF34" i="9" s="1"/>
  <c r="Q116" i="11"/>
  <c r="AD34" i="9" s="1"/>
  <c r="V114" i="11"/>
  <c r="Q114" i="11"/>
  <c r="V112" i="11"/>
  <c r="AD30" i="9" s="1"/>
  <c r="Q112" i="11"/>
  <c r="AF30" i="9" s="1"/>
  <c r="V110" i="11"/>
  <c r="Q110" i="11"/>
  <c r="V108" i="11"/>
  <c r="X30" i="9" s="1"/>
  <c r="Q108" i="11"/>
  <c r="V30" i="9" s="1"/>
  <c r="V106" i="11"/>
  <c r="Q106" i="11"/>
  <c r="S102" i="11"/>
  <c r="E102" i="11"/>
  <c r="J110" i="11" s="1"/>
  <c r="S101" i="11"/>
  <c r="E101" i="11"/>
  <c r="AG100" i="11"/>
  <c r="X108" i="11" s="1"/>
  <c r="S100" i="11"/>
  <c r="E100" i="11"/>
  <c r="X114" i="11" s="1"/>
  <c r="AG99" i="11"/>
  <c r="J112" i="11" s="1"/>
  <c r="S99" i="11"/>
  <c r="X106" i="11" s="1"/>
  <c r="E99" i="11"/>
  <c r="AG98" i="11"/>
  <c r="S98" i="11"/>
  <c r="E98" i="11"/>
  <c r="AG96" i="11"/>
  <c r="AM96" i="11" s="1"/>
  <c r="V87" i="11"/>
  <c r="Q87" i="11"/>
  <c r="V85" i="11"/>
  <c r="AH30" i="9" s="1"/>
  <c r="Q85" i="11"/>
  <c r="AJ30" i="9" s="1"/>
  <c r="V83" i="11"/>
  <c r="AJ12" i="9" s="1"/>
  <c r="Q83" i="11"/>
  <c r="AH12" i="9" s="1"/>
  <c r="V81" i="11"/>
  <c r="T30" i="9" s="1"/>
  <c r="Q81" i="11"/>
  <c r="R30" i="9" s="1"/>
  <c r="V79" i="11"/>
  <c r="AH4" i="9" s="1"/>
  <c r="Q79" i="11"/>
  <c r="AJ4" i="9" s="1"/>
  <c r="V77" i="11"/>
  <c r="AJ32" i="9" s="1"/>
  <c r="Q77" i="11"/>
  <c r="AH32" i="9" s="1"/>
  <c r="X116" i="11" l="1"/>
  <c r="J108" i="11"/>
  <c r="J114" i="11"/>
  <c r="X110" i="11"/>
  <c r="J106" i="11"/>
  <c r="J116" i="11"/>
  <c r="X112" i="11"/>
  <c r="V75" i="11"/>
  <c r="AN14" i="9" s="1"/>
  <c r="Q75" i="11"/>
  <c r="AL14" i="9" s="1"/>
  <c r="S71" i="11"/>
  <c r="E71" i="11"/>
  <c r="J83" i="11" s="1"/>
  <c r="S70" i="11"/>
  <c r="X75" i="11" s="1"/>
  <c r="E70" i="11"/>
  <c r="S69" i="11"/>
  <c r="E69" i="11"/>
  <c r="S68" i="11"/>
  <c r="E68" i="11"/>
  <c r="S67" i="11"/>
  <c r="J75" i="11" s="1"/>
  <c r="E67" i="11"/>
  <c r="X79" i="11" s="1"/>
  <c r="AG65" i="11"/>
  <c r="AM65" i="11" s="1"/>
  <c r="V56" i="11"/>
  <c r="Q56" i="11"/>
  <c r="AI54" i="11"/>
  <c r="X83" i="11" l="1"/>
  <c r="J79" i="11"/>
  <c r="V54" i="11"/>
  <c r="AB30" i="9" s="1"/>
  <c r="Q54" i="11"/>
  <c r="Z30" i="9" s="1"/>
  <c r="V52" i="11"/>
  <c r="Q52" i="11"/>
  <c r="V50" i="11"/>
  <c r="AN36" i="9" s="1"/>
  <c r="Q50" i="11"/>
  <c r="AL36" i="9" s="1"/>
  <c r="V48" i="11"/>
  <c r="Q48" i="11"/>
  <c r="V46" i="11"/>
  <c r="AL30" i="9" s="1"/>
  <c r="Q46" i="11"/>
  <c r="AN30" i="9" s="1"/>
  <c r="V44" i="11"/>
  <c r="Q44" i="11"/>
  <c r="S40" i="11"/>
  <c r="E40" i="11"/>
  <c r="S39" i="11"/>
  <c r="E39" i="11"/>
  <c r="J48" i="11" s="1"/>
  <c r="S38" i="11"/>
  <c r="E38" i="11"/>
  <c r="J52" i="11" s="1"/>
  <c r="S37" i="11"/>
  <c r="X44" i="11" s="1"/>
  <c r="E37" i="11"/>
  <c r="AG36" i="11"/>
  <c r="S36" i="11"/>
  <c r="X48" i="11" s="1"/>
  <c r="E36" i="11"/>
  <c r="AM34" i="11"/>
  <c r="AG34" i="11"/>
  <c r="T34" i="11"/>
  <c r="G34" i="11"/>
  <c r="AI25" i="11"/>
  <c r="AI50" i="11"/>
  <c r="AI52" i="11"/>
  <c r="AI48" i="11"/>
  <c r="AI46" i="11"/>
  <c r="AI44" i="11"/>
  <c r="J44" i="11" l="1"/>
  <c r="X52" i="11"/>
  <c r="X46" i="11"/>
  <c r="J54" i="11"/>
  <c r="V25" i="11"/>
  <c r="Q25" i="11"/>
  <c r="V23" i="11"/>
  <c r="Q23" i="11"/>
  <c r="V21" i="11"/>
  <c r="Q21" i="11"/>
  <c r="V19" i="11"/>
  <c r="Q19" i="11"/>
  <c r="V17" i="11"/>
  <c r="Q17" i="11"/>
  <c r="V15" i="11"/>
  <c r="Q15" i="11"/>
  <c r="V13" i="11"/>
  <c r="Q13" i="11"/>
  <c r="S9" i="11"/>
  <c r="X17" i="11" s="1"/>
  <c r="E9" i="11"/>
  <c r="S8" i="11"/>
  <c r="J17" i="11" s="1"/>
  <c r="E8" i="11"/>
  <c r="X13" i="11" s="1"/>
  <c r="S7" i="11"/>
  <c r="E7" i="11"/>
  <c r="J13" i="11" s="1"/>
  <c r="S6" i="11"/>
  <c r="X21" i="11" s="1"/>
  <c r="E6" i="11"/>
  <c r="S5" i="11"/>
  <c r="J21" i="11" s="1"/>
  <c r="E5" i="11"/>
  <c r="AG3" i="11"/>
  <c r="AM3" i="11" s="1"/>
  <c r="T3" i="11"/>
  <c r="G3" i="11"/>
  <c r="X118" i="12"/>
  <c r="V118" i="12"/>
  <c r="Q118" i="12"/>
  <c r="J118" i="12"/>
  <c r="X116" i="12"/>
  <c r="AF78" i="9"/>
  <c r="Q116" i="12"/>
  <c r="AD78" i="9" s="1"/>
  <c r="AF58" i="9"/>
  <c r="Q114" i="12"/>
  <c r="AD58" i="9" s="1"/>
  <c r="AD74" i="9"/>
  <c r="Q112" i="12"/>
  <c r="AF74" i="9" s="1"/>
  <c r="AD54" i="9"/>
  <c r="Q110" i="12"/>
  <c r="AF54" i="9" s="1"/>
  <c r="X74" i="9"/>
  <c r="Q108" i="12"/>
  <c r="V74" i="9" s="1"/>
  <c r="X54" i="9"/>
  <c r="Q106" i="12"/>
  <c r="V54" i="9" s="1"/>
  <c r="J112" i="12"/>
  <c r="J116" i="12"/>
  <c r="J108" i="12"/>
  <c r="J110" i="12"/>
  <c r="J114" i="12"/>
  <c r="J106" i="12"/>
  <c r="AG96" i="12"/>
  <c r="AM96" i="12" s="1"/>
  <c r="X87" i="12"/>
  <c r="V87" i="12"/>
  <c r="Q87" i="12"/>
  <c r="J87" i="12"/>
  <c r="V85" i="12"/>
  <c r="AH74" i="9" s="1"/>
  <c r="Q85" i="12"/>
  <c r="AJ74" i="9" s="1"/>
  <c r="V83" i="12"/>
  <c r="AH54" i="9" s="1"/>
  <c r="Q83" i="12"/>
  <c r="AJ54" i="9" s="1"/>
  <c r="V81" i="12"/>
  <c r="T74" i="9" s="1"/>
  <c r="Q81" i="12"/>
  <c r="R74" i="9" s="1"/>
  <c r="V79" i="12"/>
  <c r="T54" i="9" s="1"/>
  <c r="Q79" i="12"/>
  <c r="R54" i="9" s="1"/>
  <c r="V77" i="12"/>
  <c r="AJ76" i="9" s="1"/>
  <c r="Q77" i="12"/>
  <c r="AH76" i="9" s="1"/>
  <c r="J77" i="12"/>
  <c r="V75" i="12"/>
  <c r="AJ56" i="9" s="1"/>
  <c r="Q75" i="12"/>
  <c r="AH56" i="9" s="1"/>
  <c r="X77" i="12"/>
  <c r="X81" i="12"/>
  <c r="X85" i="12"/>
  <c r="J83" i="12"/>
  <c r="J75" i="12"/>
  <c r="J79" i="12"/>
  <c r="AG65" i="12"/>
  <c r="AM65" i="12" s="1"/>
  <c r="X56" i="12"/>
  <c r="V56" i="12"/>
  <c r="Q56" i="12"/>
  <c r="J56" i="12"/>
  <c r="V54" i="12"/>
  <c r="X72" i="9" s="1"/>
  <c r="Q54" i="12"/>
  <c r="V72" i="9" s="1"/>
  <c r="V52" i="12"/>
  <c r="X52" i="9" s="1"/>
  <c r="Q52" i="12"/>
  <c r="V52" i="9" s="1"/>
  <c r="V50" i="12"/>
  <c r="AJ78" i="9" s="1"/>
  <c r="Q50" i="12"/>
  <c r="AH78" i="9" s="1"/>
  <c r="V48" i="12"/>
  <c r="Q48" i="12"/>
  <c r="AH58" i="9" s="1"/>
  <c r="V46" i="12"/>
  <c r="AH72" i="9" s="1"/>
  <c r="Q46" i="12"/>
  <c r="AJ72" i="9" s="1"/>
  <c r="X44" i="12"/>
  <c r="V44" i="12"/>
  <c r="AH52" i="9" s="1"/>
  <c r="Q44" i="12"/>
  <c r="AJ52" i="9" s="1"/>
  <c r="AG41" i="12"/>
  <c r="S41" i="12"/>
  <c r="E41" i="12"/>
  <c r="AG40" i="12"/>
  <c r="S40" i="12"/>
  <c r="E40" i="12"/>
  <c r="AG39" i="12"/>
  <c r="J54" i="12" s="1"/>
  <c r="S39" i="12"/>
  <c r="E39" i="12"/>
  <c r="AG38" i="12"/>
  <c r="S38" i="12"/>
  <c r="E38" i="12"/>
  <c r="AG37" i="12"/>
  <c r="S37" i="12"/>
  <c r="E37" i="12"/>
  <c r="AG36" i="12"/>
  <c r="S36" i="12"/>
  <c r="J52" i="12" s="1"/>
  <c r="E36" i="12"/>
  <c r="AM34" i="12"/>
  <c r="AG34" i="12"/>
  <c r="T34" i="12"/>
  <c r="G34" i="12"/>
  <c r="X25" i="12"/>
  <c r="V25" i="12"/>
  <c r="Q25" i="12"/>
  <c r="J25" i="12"/>
  <c r="V23" i="12"/>
  <c r="AN84" i="9" s="1"/>
  <c r="Q23" i="12"/>
  <c r="AL84" i="9" s="1"/>
  <c r="V21" i="12"/>
  <c r="AN64" i="9" s="1"/>
  <c r="Q21" i="12"/>
  <c r="AL64" i="9" s="1"/>
  <c r="V19" i="12"/>
  <c r="AL82" i="9" s="1"/>
  <c r="Q19" i="12"/>
  <c r="AN82" i="9" s="1"/>
  <c r="V17" i="12"/>
  <c r="AL62" i="9" s="1"/>
  <c r="Q17" i="12"/>
  <c r="AN62" i="9" s="1"/>
  <c r="X15" i="12"/>
  <c r="V15" i="12"/>
  <c r="AJ82" i="9" s="1"/>
  <c r="Q15" i="12"/>
  <c r="AH82" i="9" s="1"/>
  <c r="V13" i="12"/>
  <c r="AJ62" i="9" s="1"/>
  <c r="Q13" i="12"/>
  <c r="AH62" i="9" s="1"/>
  <c r="AG10" i="12"/>
  <c r="S10" i="12"/>
  <c r="E10" i="12"/>
  <c r="AG9" i="12"/>
  <c r="S9" i="12"/>
  <c r="E9" i="12"/>
  <c r="AG8" i="12"/>
  <c r="J19" i="12" s="1"/>
  <c r="S8" i="12"/>
  <c r="E8" i="12"/>
  <c r="AG7" i="12"/>
  <c r="S7" i="12"/>
  <c r="E7" i="12"/>
  <c r="J13" i="12" s="1"/>
  <c r="AG6" i="12"/>
  <c r="S6" i="12"/>
  <c r="E6" i="12"/>
  <c r="AG5" i="12"/>
  <c r="S5" i="12"/>
  <c r="E5" i="12"/>
  <c r="AG3" i="12"/>
  <c r="AM3" i="12" s="1"/>
  <c r="T3" i="12"/>
  <c r="G3" i="12"/>
  <c r="AG3" i="4"/>
  <c r="AI25" i="12"/>
  <c r="AI21" i="11"/>
  <c r="AI23" i="11"/>
  <c r="AI17" i="11"/>
  <c r="AI21" i="12"/>
  <c r="AI19" i="11"/>
  <c r="AI48" i="12"/>
  <c r="AI13" i="11"/>
  <c r="AI15" i="11"/>
  <c r="AI118" i="12"/>
  <c r="AI54" i="12"/>
  <c r="AI23" i="12"/>
  <c r="AI50" i="12"/>
  <c r="AI46" i="12"/>
  <c r="AI17" i="12"/>
  <c r="AI56" i="12"/>
  <c r="AI87" i="12"/>
  <c r="AI13" i="12"/>
  <c r="AI44" i="12"/>
  <c r="AI19" i="12"/>
  <c r="AI15" i="12"/>
  <c r="AI52" i="12"/>
  <c r="X17" i="12" l="1"/>
  <c r="X48" i="12"/>
  <c r="X13" i="12"/>
  <c r="J15" i="12"/>
  <c r="J48" i="12"/>
  <c r="J46" i="12"/>
  <c r="X21" i="12"/>
  <c r="J23" i="12"/>
  <c r="J50" i="12"/>
  <c r="J17" i="12"/>
  <c r="J44" i="12"/>
  <c r="J81" i="12"/>
  <c r="X19" i="12"/>
  <c r="J85" i="12"/>
  <c r="X112" i="12"/>
  <c r="X52" i="12"/>
  <c r="X108" i="12"/>
  <c r="X23" i="12"/>
  <c r="X75" i="12"/>
  <c r="X79" i="12"/>
  <c r="X83" i="12"/>
  <c r="J21" i="12"/>
  <c r="X46" i="12"/>
  <c r="X50" i="12"/>
  <c r="X54" i="12"/>
  <c r="X106" i="12"/>
  <c r="X110" i="12"/>
  <c r="X114" i="12"/>
  <c r="V85" i="4"/>
  <c r="AB8" i="9" s="1"/>
  <c r="Q85" i="4"/>
  <c r="Z8" i="9" s="1"/>
  <c r="AI13" i="4"/>
  <c r="AG96" i="6" l="1"/>
  <c r="AG96" i="7"/>
  <c r="AM96" i="7" s="1"/>
  <c r="AG96" i="5"/>
  <c r="AG65" i="7"/>
  <c r="AG65" i="6"/>
  <c r="AM65" i="6" s="1"/>
  <c r="AG65" i="5"/>
  <c r="AM65" i="5" s="1"/>
  <c r="AG34" i="7"/>
  <c r="AG34" i="6"/>
  <c r="AG34" i="5"/>
  <c r="AM34" i="5" s="1"/>
  <c r="AG3" i="7"/>
  <c r="AG3" i="6"/>
  <c r="AM3" i="6" s="1"/>
  <c r="AG3" i="5"/>
  <c r="AM3" i="5" s="1"/>
  <c r="AG127" i="4"/>
  <c r="AM127" i="4" s="1"/>
  <c r="AG96" i="4"/>
  <c r="AG65" i="4"/>
  <c r="AG34" i="4"/>
  <c r="AM34" i="4" s="1"/>
  <c r="B39" i="8"/>
  <c r="C27" i="10" s="1"/>
  <c r="B38" i="8"/>
  <c r="C6" i="10" s="1"/>
  <c r="B37" i="8"/>
  <c r="C34" i="10" s="1"/>
  <c r="B36" i="8"/>
  <c r="C8" i="10" s="1"/>
  <c r="B35" i="8"/>
  <c r="C20" i="10" s="1"/>
  <c r="B34" i="8"/>
  <c r="C17" i="10" s="1"/>
  <c r="B33" i="8"/>
  <c r="C41" i="10" s="1"/>
  <c r="B32" i="8"/>
  <c r="C29" i="10" s="1"/>
  <c r="B31" i="8"/>
  <c r="C40" i="10" s="1"/>
  <c r="B30" i="8"/>
  <c r="C12" i="10" s="1"/>
  <c r="B29" i="8"/>
  <c r="C25" i="10" s="1"/>
  <c r="B28" i="8"/>
  <c r="C33" i="10" s="1"/>
  <c r="B27" i="8"/>
  <c r="C11" i="10" s="1"/>
  <c r="B26" i="8"/>
  <c r="C24" i="10" s="1"/>
  <c r="B25" i="8"/>
  <c r="C28" i="10" s="1"/>
  <c r="B24" i="8"/>
  <c r="C32" i="10" s="1"/>
  <c r="B23" i="8"/>
  <c r="C39" i="10" s="1"/>
  <c r="B22" i="8"/>
  <c r="C19" i="10" s="1"/>
  <c r="B21" i="8"/>
  <c r="C38" i="10" s="1"/>
  <c r="B20" i="8"/>
  <c r="C18" i="10" s="1"/>
  <c r="B19" i="8"/>
  <c r="C26" i="10" s="1"/>
  <c r="B18" i="8"/>
  <c r="C14" i="10" s="1"/>
  <c r="B17" i="8"/>
  <c r="C7" i="10" s="1"/>
  <c r="B16" i="8"/>
  <c r="C23" i="10" s="1"/>
  <c r="B15" i="8"/>
  <c r="C31" i="10" s="1"/>
  <c r="B14" i="8"/>
  <c r="C37" i="10" s="1"/>
  <c r="B13" i="8"/>
  <c r="C42" i="10" s="1"/>
  <c r="B12" i="8"/>
  <c r="C10" i="10" s="1"/>
  <c r="B11" i="8"/>
  <c r="C16" i="10" s="1"/>
  <c r="B10" i="8"/>
  <c r="C22" i="10" s="1"/>
  <c r="B9" i="8"/>
  <c r="C9" i="10" s="1"/>
  <c r="B8" i="8"/>
  <c r="C30" i="10" s="1"/>
  <c r="B7" i="8"/>
  <c r="C15" i="10" s="1"/>
  <c r="B6" i="8"/>
  <c r="C21" i="10" s="1"/>
  <c r="B5" i="8"/>
  <c r="C36" i="10" s="1"/>
  <c r="B4" i="8"/>
  <c r="C43" i="10" s="1"/>
  <c r="B3" i="8"/>
  <c r="C35" i="10" s="1"/>
  <c r="B2" i="8"/>
  <c r="C13" i="10" s="1"/>
  <c r="X118" i="7"/>
  <c r="V118" i="7"/>
  <c r="Q118" i="7"/>
  <c r="J118" i="7"/>
  <c r="V116" i="7"/>
  <c r="Q116" i="7"/>
  <c r="AL76" i="9" s="1"/>
  <c r="V114" i="7"/>
  <c r="AJ80" i="9" s="1"/>
  <c r="Z84" i="9" s="1"/>
  <c r="Q114" i="7"/>
  <c r="AH80" i="9" s="1"/>
  <c r="V112" i="7"/>
  <c r="AL72" i="9" s="1"/>
  <c r="Q112" i="7"/>
  <c r="V110" i="7"/>
  <c r="AH70" i="9" s="1"/>
  <c r="Q110" i="7"/>
  <c r="AJ70" i="9" s="1"/>
  <c r="F84" i="9" s="1"/>
  <c r="V108" i="7"/>
  <c r="Q108" i="7"/>
  <c r="R72" i="9" s="1"/>
  <c r="V106" i="7"/>
  <c r="AB70" i="9" s="1"/>
  <c r="F80" i="9" s="1"/>
  <c r="Q106" i="7"/>
  <c r="Z70" i="9" s="1"/>
  <c r="AG100" i="7"/>
  <c r="S100" i="7"/>
  <c r="J110" i="7" s="1"/>
  <c r="E100" i="7"/>
  <c r="J112" i="7" s="1"/>
  <c r="AG99" i="7"/>
  <c r="X106" i="7" s="1"/>
  <c r="S99" i="7"/>
  <c r="E99" i="7"/>
  <c r="AG98" i="7"/>
  <c r="X112" i="7" s="1"/>
  <c r="S98" i="7"/>
  <c r="E98" i="7"/>
  <c r="X110" i="7" s="1"/>
  <c r="V87" i="7"/>
  <c r="Q87" i="7"/>
  <c r="J87" i="7"/>
  <c r="V85" i="7"/>
  <c r="AL70" i="9" s="1"/>
  <c r="Q85" i="7"/>
  <c r="AN70" i="9" s="1"/>
  <c r="F86" i="9" s="1"/>
  <c r="V83" i="7"/>
  <c r="AD72" i="9" s="1"/>
  <c r="Q83" i="7"/>
  <c r="AF72" i="9" s="1"/>
  <c r="J82" i="9" s="1"/>
  <c r="V81" i="7"/>
  <c r="X70" i="9" s="1"/>
  <c r="F78" i="9" s="1"/>
  <c r="Q81" i="7"/>
  <c r="V70" i="9" s="1"/>
  <c r="V79" i="7"/>
  <c r="AB72" i="9" s="1"/>
  <c r="J80" i="9" s="1"/>
  <c r="Q79" i="7"/>
  <c r="Z72" i="9" s="1"/>
  <c r="V77" i="7"/>
  <c r="AN78" i="9" s="1"/>
  <c r="V86" i="9" s="1"/>
  <c r="Q77" i="7"/>
  <c r="AL78" i="9" s="1"/>
  <c r="V75" i="7"/>
  <c r="AF80" i="9" s="1"/>
  <c r="Z82" i="9" s="1"/>
  <c r="Q75" i="7"/>
  <c r="AD80" i="9" s="1"/>
  <c r="AG69" i="7"/>
  <c r="X77" i="7" s="1"/>
  <c r="S69" i="7"/>
  <c r="E69" i="7"/>
  <c r="J83" i="7" s="1"/>
  <c r="AG68" i="7"/>
  <c r="X79" i="7" s="1"/>
  <c r="S68" i="7"/>
  <c r="X81" i="7" s="1"/>
  <c r="E68" i="7"/>
  <c r="AG67" i="7"/>
  <c r="S67" i="7"/>
  <c r="X83" i="7" s="1"/>
  <c r="E67" i="7"/>
  <c r="X85" i="7" s="1"/>
  <c r="AM65" i="7"/>
  <c r="X56" i="7"/>
  <c r="V56" i="7"/>
  <c r="Q56" i="7"/>
  <c r="J56" i="7"/>
  <c r="V54" i="7"/>
  <c r="T70" i="9" s="1"/>
  <c r="F76" i="9" s="1"/>
  <c r="Q54" i="7"/>
  <c r="R70" i="9" s="1"/>
  <c r="V52" i="7"/>
  <c r="Q52" i="7"/>
  <c r="Z74" i="9" s="1"/>
  <c r="V50" i="7"/>
  <c r="AF76" i="9" s="1"/>
  <c r="R82" i="9" s="1"/>
  <c r="Q50" i="7"/>
  <c r="AD76" i="9" s="1"/>
  <c r="V48" i="7"/>
  <c r="Q48" i="7"/>
  <c r="AL80" i="9" s="1"/>
  <c r="V46" i="7"/>
  <c r="AD70" i="9" s="1"/>
  <c r="Q46" i="7"/>
  <c r="AF70" i="9" s="1"/>
  <c r="F82" i="9" s="1"/>
  <c r="V44" i="7"/>
  <c r="AL74" i="9" s="1"/>
  <c r="Q44" i="7"/>
  <c r="AG38" i="7"/>
  <c r="S38" i="7"/>
  <c r="E38" i="7"/>
  <c r="J46" i="7" s="1"/>
  <c r="AG37" i="7"/>
  <c r="S37" i="7"/>
  <c r="X52" i="7" s="1"/>
  <c r="E37" i="7"/>
  <c r="X54" i="7" s="1"/>
  <c r="AG36" i="7"/>
  <c r="S36" i="7"/>
  <c r="E36" i="7"/>
  <c r="X46" i="7" s="1"/>
  <c r="AM34" i="7"/>
  <c r="T34" i="7"/>
  <c r="G34" i="7"/>
  <c r="X25" i="7"/>
  <c r="V25" i="7"/>
  <c r="Q25" i="7"/>
  <c r="J25" i="7"/>
  <c r="V23" i="7"/>
  <c r="AH86" i="9" s="1"/>
  <c r="Q23" i="7"/>
  <c r="V21" i="7"/>
  <c r="V80" i="9" s="1"/>
  <c r="Q21" i="7"/>
  <c r="V19" i="7"/>
  <c r="Q19" i="7"/>
  <c r="AD86" i="9" s="1"/>
  <c r="V17" i="7"/>
  <c r="Q17" i="7"/>
  <c r="R80" i="9" s="1"/>
  <c r="V15" i="7"/>
  <c r="AD84" i="9" s="1"/>
  <c r="Q15" i="7"/>
  <c r="V13" i="7"/>
  <c r="R78" i="9" s="1"/>
  <c r="Q13" i="7"/>
  <c r="AG7" i="7"/>
  <c r="X23" i="7" s="1"/>
  <c r="S7" i="7"/>
  <c r="E7" i="7"/>
  <c r="AG6" i="7"/>
  <c r="X21" i="7" s="1"/>
  <c r="S6" i="7"/>
  <c r="X13" i="7" s="1"/>
  <c r="E6" i="7"/>
  <c r="AG5" i="7"/>
  <c r="S5" i="7"/>
  <c r="E5" i="7"/>
  <c r="AM3" i="7"/>
  <c r="T3" i="7"/>
  <c r="G3" i="7"/>
  <c r="X118" i="6"/>
  <c r="V118" i="6"/>
  <c r="Q118" i="6"/>
  <c r="J118" i="6"/>
  <c r="V116" i="6"/>
  <c r="Q116" i="6"/>
  <c r="AL56" i="9" s="1"/>
  <c r="V114" i="6"/>
  <c r="AJ60" i="9" s="1"/>
  <c r="Z64" i="9" s="1"/>
  <c r="Q114" i="6"/>
  <c r="AH60" i="9" s="1"/>
  <c r="V112" i="6"/>
  <c r="AL52" i="9" s="1"/>
  <c r="Q112" i="6"/>
  <c r="V110" i="6"/>
  <c r="AH50" i="9" s="1"/>
  <c r="Q110" i="6"/>
  <c r="AJ50" i="9" s="1"/>
  <c r="F64" i="9" s="1"/>
  <c r="V108" i="6"/>
  <c r="Q108" i="6"/>
  <c r="R52" i="9" s="1"/>
  <c r="V106" i="6"/>
  <c r="AB50" i="9" s="1"/>
  <c r="F60" i="9" s="1"/>
  <c r="Q106" i="6"/>
  <c r="Z50" i="9" s="1"/>
  <c r="AG100" i="6"/>
  <c r="S100" i="6"/>
  <c r="X114" i="6" s="1"/>
  <c r="E100" i="6"/>
  <c r="AG99" i="6"/>
  <c r="J114" i="6" s="1"/>
  <c r="S99" i="6"/>
  <c r="E99" i="6"/>
  <c r="AG98" i="6"/>
  <c r="S98" i="6"/>
  <c r="E98" i="6"/>
  <c r="X110" i="6" s="1"/>
  <c r="AM96" i="6"/>
  <c r="X87" i="6"/>
  <c r="V87" i="6"/>
  <c r="Q87" i="6"/>
  <c r="J87" i="6"/>
  <c r="N84" i="9"/>
  <c r="V85" i="6"/>
  <c r="AL50" i="9" s="1"/>
  <c r="Q85" i="6"/>
  <c r="AN50" i="9" s="1"/>
  <c r="F66" i="9" s="1"/>
  <c r="N64" i="9"/>
  <c r="V83" i="6"/>
  <c r="AD52" i="9" s="1"/>
  <c r="Q83" i="6"/>
  <c r="AF52" i="9" s="1"/>
  <c r="J62" i="9" s="1"/>
  <c r="N76" i="9"/>
  <c r="V81" i="6"/>
  <c r="X50" i="9" s="1"/>
  <c r="F58" i="9" s="1"/>
  <c r="Q81" i="6"/>
  <c r="V50" i="9" s="1"/>
  <c r="N56" i="9"/>
  <c r="V79" i="6"/>
  <c r="AB52" i="9" s="1"/>
  <c r="J60" i="9" s="1"/>
  <c r="Q79" i="6"/>
  <c r="Z52" i="9" s="1"/>
  <c r="R84" i="9"/>
  <c r="V77" i="6"/>
  <c r="AN58" i="9" s="1"/>
  <c r="V66" i="9" s="1"/>
  <c r="Q77" i="6"/>
  <c r="AL58" i="9" s="1"/>
  <c r="R64" i="9"/>
  <c r="V75" i="6"/>
  <c r="AF60" i="9" s="1"/>
  <c r="Z62" i="9" s="1"/>
  <c r="Q75" i="6"/>
  <c r="AD60" i="9" s="1"/>
  <c r="AG69" i="6"/>
  <c r="X77" i="6" s="1"/>
  <c r="S69" i="6"/>
  <c r="E69" i="6"/>
  <c r="X75" i="6" s="1"/>
  <c r="AG68" i="6"/>
  <c r="X79" i="6" s="1"/>
  <c r="S68" i="6"/>
  <c r="X81" i="6" s="1"/>
  <c r="E68" i="6"/>
  <c r="AG67" i="6"/>
  <c r="S67" i="6"/>
  <c r="J79" i="6" s="1"/>
  <c r="E67" i="6"/>
  <c r="X85" i="6" s="1"/>
  <c r="X56" i="6"/>
  <c r="V56" i="6"/>
  <c r="Q56" i="6"/>
  <c r="J56" i="6"/>
  <c r="V54" i="6"/>
  <c r="T50" i="9" s="1"/>
  <c r="F56" i="9" s="1"/>
  <c r="Q54" i="6"/>
  <c r="R50" i="9" s="1"/>
  <c r="V52" i="6"/>
  <c r="Q52" i="6"/>
  <c r="Z54" i="9" s="1"/>
  <c r="V50" i="6"/>
  <c r="AF56" i="9" s="1"/>
  <c r="R62" i="9" s="1"/>
  <c r="Q50" i="6"/>
  <c r="AD56" i="9" s="1"/>
  <c r="V48" i="6"/>
  <c r="Q48" i="6"/>
  <c r="AL60" i="9" s="1"/>
  <c r="V46" i="6"/>
  <c r="AD50" i="9" s="1"/>
  <c r="Q46" i="6"/>
  <c r="AF50" i="9" s="1"/>
  <c r="F62" i="9" s="1"/>
  <c r="V44" i="6"/>
  <c r="AL54" i="9" s="1"/>
  <c r="Q44" i="6"/>
  <c r="AG38" i="6"/>
  <c r="S38" i="6"/>
  <c r="E38" i="6"/>
  <c r="J46" i="6" s="1"/>
  <c r="AG37" i="6"/>
  <c r="S37" i="6"/>
  <c r="E37" i="6"/>
  <c r="X54" i="6" s="1"/>
  <c r="AG36" i="6"/>
  <c r="S36" i="6"/>
  <c r="J52" i="6" s="1"/>
  <c r="E36" i="6"/>
  <c r="J54" i="6" s="1"/>
  <c r="AM34" i="6"/>
  <c r="T34" i="6"/>
  <c r="G34" i="6"/>
  <c r="X25" i="6"/>
  <c r="V25" i="6"/>
  <c r="Q25" i="6"/>
  <c r="J25" i="6"/>
  <c r="J74" i="9"/>
  <c r="V23" i="6"/>
  <c r="AH66" i="9" s="1"/>
  <c r="Q23" i="6"/>
  <c r="J54" i="9"/>
  <c r="V21" i="6"/>
  <c r="V60" i="9" s="1"/>
  <c r="Q21" i="6"/>
  <c r="F74" i="9"/>
  <c r="V19" i="6"/>
  <c r="Q19" i="6"/>
  <c r="AD66" i="9" s="1"/>
  <c r="F54" i="9"/>
  <c r="V17" i="6"/>
  <c r="Q17" i="6"/>
  <c r="R60" i="9" s="1"/>
  <c r="F72" i="9"/>
  <c r="V15" i="6"/>
  <c r="AD64" i="9" s="1"/>
  <c r="Q15" i="6"/>
  <c r="F52" i="9"/>
  <c r="V13" i="6"/>
  <c r="R58" i="9" s="1"/>
  <c r="Q13" i="6"/>
  <c r="AG7" i="6"/>
  <c r="S7" i="6"/>
  <c r="X15" i="6" s="1"/>
  <c r="E7" i="6"/>
  <c r="AG6" i="6"/>
  <c r="S6" i="6"/>
  <c r="E6" i="6"/>
  <c r="X17" i="6" s="1"/>
  <c r="AG5" i="6"/>
  <c r="S5" i="6"/>
  <c r="E5" i="6"/>
  <c r="T3" i="6"/>
  <c r="G3" i="6"/>
  <c r="V44" i="9"/>
  <c r="N40" i="9"/>
  <c r="V118" i="5"/>
  <c r="Q118" i="5"/>
  <c r="V116" i="5"/>
  <c r="AN32" i="9" s="1"/>
  <c r="R42" i="9" s="1"/>
  <c r="Q116" i="5"/>
  <c r="V114" i="5"/>
  <c r="AJ36" i="9" s="1"/>
  <c r="Q114" i="5"/>
  <c r="AH36" i="9" s="1"/>
  <c r="V112" i="5"/>
  <c r="AL28" i="9" s="1"/>
  <c r="Q112" i="5"/>
  <c r="AN28" i="9" s="1"/>
  <c r="J42" i="9" s="1"/>
  <c r="V110" i="5"/>
  <c r="Q110" i="5"/>
  <c r="AJ26" i="9" s="1"/>
  <c r="F40" i="9" s="1"/>
  <c r="V108" i="5"/>
  <c r="Q108" i="5"/>
  <c r="R28" i="9" s="1"/>
  <c r="V106" i="5"/>
  <c r="AB26" i="9" s="1"/>
  <c r="F36" i="9" s="1"/>
  <c r="Q106" i="5"/>
  <c r="Z26" i="9" s="1"/>
  <c r="AM96" i="5"/>
  <c r="V87" i="5"/>
  <c r="Q87" i="5"/>
  <c r="V85" i="5"/>
  <c r="AL26" i="9" s="1"/>
  <c r="Q85" i="5"/>
  <c r="AN26" i="9" s="1"/>
  <c r="V83" i="5"/>
  <c r="Q83" i="5"/>
  <c r="AF28" i="9" s="1"/>
  <c r="J38" i="9" s="1"/>
  <c r="N44" i="9"/>
  <c r="V81" i="5"/>
  <c r="X26" i="9" s="1"/>
  <c r="Q81" i="5"/>
  <c r="V26" i="9" s="1"/>
  <c r="V79" i="5"/>
  <c r="AB28" i="9" s="1"/>
  <c r="Q79" i="5"/>
  <c r="Z28" i="9" s="1"/>
  <c r="V77" i="5"/>
  <c r="Q77" i="5"/>
  <c r="AL34" i="9" s="1"/>
  <c r="AD44" i="9"/>
  <c r="V75" i="5"/>
  <c r="AF36" i="9" s="1"/>
  <c r="Q75" i="5"/>
  <c r="AD36" i="9" s="1"/>
  <c r="V56" i="5"/>
  <c r="Q56" i="5"/>
  <c r="F42" i="9" s="1"/>
  <c r="V54" i="5"/>
  <c r="Q54" i="5"/>
  <c r="R26" i="9" s="1"/>
  <c r="V52" i="5"/>
  <c r="X28" i="9" s="1"/>
  <c r="Q52" i="5"/>
  <c r="V50" i="5"/>
  <c r="Q50" i="5"/>
  <c r="AD32" i="9" s="1"/>
  <c r="V48" i="5"/>
  <c r="Q48" i="5"/>
  <c r="AH34" i="9" s="1"/>
  <c r="V46" i="5"/>
  <c r="Q46" i="5"/>
  <c r="AF26" i="9" s="1"/>
  <c r="V44" i="5"/>
  <c r="Q44" i="5"/>
  <c r="AJ28" i="9" s="1"/>
  <c r="J56" i="5"/>
  <c r="X56" i="5"/>
  <c r="T34" i="5"/>
  <c r="G34" i="5"/>
  <c r="V25" i="5"/>
  <c r="AH42" i="9" s="1"/>
  <c r="Q25" i="5"/>
  <c r="V23" i="5"/>
  <c r="Q23" i="5"/>
  <c r="F44" i="9" s="1"/>
  <c r="V21" i="5"/>
  <c r="R34" i="9" s="1"/>
  <c r="Q21" i="5"/>
  <c r="V19" i="5"/>
  <c r="J30" i="9" s="1"/>
  <c r="Q19" i="5"/>
  <c r="V17" i="5"/>
  <c r="AD40" i="9" s="1"/>
  <c r="Q17" i="5"/>
  <c r="V15" i="5"/>
  <c r="V36" i="9" s="1"/>
  <c r="Q15" i="5"/>
  <c r="V13" i="5"/>
  <c r="L26" i="9" s="1"/>
  <c r="F28" i="9" s="1"/>
  <c r="Q13" i="5"/>
  <c r="J26" i="9" s="1"/>
  <c r="X25" i="5"/>
  <c r="T3" i="5"/>
  <c r="G3" i="5"/>
  <c r="V149" i="4"/>
  <c r="Q149" i="4"/>
  <c r="V147" i="4"/>
  <c r="Q147" i="4"/>
  <c r="V145" i="4"/>
  <c r="Q145" i="4"/>
  <c r="Z4" i="9" s="1"/>
  <c r="V143" i="4"/>
  <c r="AR12" i="9" s="1"/>
  <c r="V22" i="9" s="1"/>
  <c r="Q143" i="4"/>
  <c r="AP12" i="9" s="1"/>
  <c r="V141" i="4"/>
  <c r="AN10" i="9" s="1"/>
  <c r="R20" i="9" s="1"/>
  <c r="Q141" i="4"/>
  <c r="AL10" i="9" s="1"/>
  <c r="V139" i="4"/>
  <c r="AJ8" i="9" s="1"/>
  <c r="N18" i="9" s="1"/>
  <c r="Q139" i="4"/>
  <c r="AH8" i="9" s="1"/>
  <c r="V137" i="4"/>
  <c r="AF6" i="9" s="1"/>
  <c r="J16" i="9" s="1"/>
  <c r="Q137" i="4"/>
  <c r="AD6" i="9" s="1"/>
  <c r="S133" i="4"/>
  <c r="X143" i="4" s="1"/>
  <c r="E133" i="4"/>
  <c r="J143" i="4" s="1"/>
  <c r="S132" i="4"/>
  <c r="X141" i="4" s="1"/>
  <c r="E132" i="4"/>
  <c r="J141" i="4" s="1"/>
  <c r="S131" i="4"/>
  <c r="X139" i="4" s="1"/>
  <c r="E131" i="4"/>
  <c r="J139" i="4" s="1"/>
  <c r="S130" i="4"/>
  <c r="X137" i="4" s="1"/>
  <c r="E130" i="4"/>
  <c r="J137" i="4" s="1"/>
  <c r="S129" i="4"/>
  <c r="X145" i="4" s="1"/>
  <c r="E129" i="4"/>
  <c r="J145" i="4" s="1"/>
  <c r="V118" i="4"/>
  <c r="X4" i="9" s="1"/>
  <c r="F12" i="9" s="1"/>
  <c r="Q118" i="4"/>
  <c r="V4" i="9" s="1"/>
  <c r="N42" i="9"/>
  <c r="V116" i="4"/>
  <c r="AP10" i="9" s="1"/>
  <c r="Q116" i="4"/>
  <c r="AR10" i="9" s="1"/>
  <c r="R22" i="9" s="1"/>
  <c r="AL8" i="9"/>
  <c r="AN8" i="9"/>
  <c r="N20" i="9" s="1"/>
  <c r="V114" i="4"/>
  <c r="AH6" i="9" s="1"/>
  <c r="Q114" i="4"/>
  <c r="AJ6" i="9" s="1"/>
  <c r="J18" i="9" s="1"/>
  <c r="V112" i="4"/>
  <c r="AD4" i="9" s="1"/>
  <c r="Q112" i="4"/>
  <c r="AF4" i="9" s="1"/>
  <c r="F16" i="9" s="1"/>
  <c r="AN12" i="9"/>
  <c r="V20" i="9" s="1"/>
  <c r="AL12" i="9"/>
  <c r="V110" i="4"/>
  <c r="AR14" i="9" s="1"/>
  <c r="Z22" i="9" s="1"/>
  <c r="Q110" i="4"/>
  <c r="AP14" i="9" s="1"/>
  <c r="N38" i="9"/>
  <c r="V108" i="4"/>
  <c r="AJ10" i="9" s="1"/>
  <c r="R18" i="9" s="1"/>
  <c r="Q108" i="4"/>
  <c r="AH10" i="9" s="1"/>
  <c r="AF8" i="9"/>
  <c r="N16" i="9" s="1"/>
  <c r="AD8" i="9"/>
  <c r="V106" i="4"/>
  <c r="AB6" i="9" s="1"/>
  <c r="J14" i="9" s="1"/>
  <c r="Q106" i="4"/>
  <c r="Z6" i="9" s="1"/>
  <c r="S102" i="4"/>
  <c r="J116" i="4" s="1"/>
  <c r="E102" i="4"/>
  <c r="X118" i="4" s="1"/>
  <c r="S101" i="4"/>
  <c r="E101" i="4"/>
  <c r="X116" i="4" s="1"/>
  <c r="S100" i="4"/>
  <c r="X108" i="4" s="1"/>
  <c r="E100" i="4"/>
  <c r="S99" i="4"/>
  <c r="J112" i="4" s="1"/>
  <c r="E99" i="4"/>
  <c r="J106" i="4" s="1"/>
  <c r="S98" i="4"/>
  <c r="J110" i="4" s="1"/>
  <c r="E98" i="4"/>
  <c r="J118" i="4" s="1"/>
  <c r="AM96" i="4"/>
  <c r="V87" i="4"/>
  <c r="T4" i="9" s="1"/>
  <c r="F10" i="9" s="1"/>
  <c r="Q87" i="4"/>
  <c r="R4" i="9" s="1"/>
  <c r="V83" i="4"/>
  <c r="Q83" i="4"/>
  <c r="AP16" i="9" s="1"/>
  <c r="V81" i="4"/>
  <c r="Q81" i="4"/>
  <c r="AN6" i="9" s="1"/>
  <c r="J20" i="9" s="1"/>
  <c r="V79" i="4"/>
  <c r="AF10" i="9" s="1"/>
  <c r="R16" i="9" s="1"/>
  <c r="Q79" i="4"/>
  <c r="AD10" i="9" s="1"/>
  <c r="F18" i="9"/>
  <c r="V77" i="4"/>
  <c r="Q77" i="4"/>
  <c r="AR8" i="9" s="1"/>
  <c r="N22" i="9" s="1"/>
  <c r="V75" i="4"/>
  <c r="Q75" i="4"/>
  <c r="V6" i="9" s="1"/>
  <c r="S71" i="4"/>
  <c r="E71" i="4"/>
  <c r="S70" i="4"/>
  <c r="E70" i="4"/>
  <c r="S69" i="4"/>
  <c r="E69" i="4"/>
  <c r="S68" i="4"/>
  <c r="X79" i="4" s="1"/>
  <c r="E68" i="4"/>
  <c r="S67" i="4"/>
  <c r="E67" i="4"/>
  <c r="AM65" i="4"/>
  <c r="V56" i="4"/>
  <c r="AL4" i="9" s="1"/>
  <c r="Q56" i="4"/>
  <c r="AN4" i="9" s="1"/>
  <c r="F20" i="9" s="1"/>
  <c r="N34" i="9"/>
  <c r="V54" i="4"/>
  <c r="AJ14" i="9" s="1"/>
  <c r="Z18" i="9" s="1"/>
  <c r="Q54" i="4"/>
  <c r="AH14" i="9" s="1"/>
  <c r="X8" i="9"/>
  <c r="N12" i="9" s="1"/>
  <c r="V8" i="9"/>
  <c r="V52" i="4"/>
  <c r="AP6" i="9" s="1"/>
  <c r="Q52" i="4"/>
  <c r="AR6" i="9" s="1"/>
  <c r="J22" i="9" s="1"/>
  <c r="R36" i="9"/>
  <c r="V50" i="4"/>
  <c r="AN16" i="9" s="1"/>
  <c r="AD20" i="9" s="1"/>
  <c r="Q50" i="4"/>
  <c r="AL16" i="9" s="1"/>
  <c r="AB10" i="9"/>
  <c r="R14" i="9" s="1"/>
  <c r="Z10" i="9"/>
  <c r="V48" i="4"/>
  <c r="P4" i="9" s="1"/>
  <c r="F8" i="9" s="1"/>
  <c r="Q48" i="4"/>
  <c r="N4" i="9" s="1"/>
  <c r="V38" i="9"/>
  <c r="V46" i="4"/>
  <c r="AR18" i="9" s="1"/>
  <c r="AH22" i="9" s="1"/>
  <c r="Q46" i="4"/>
  <c r="AP18" i="9" s="1"/>
  <c r="AF12" i="9"/>
  <c r="V16" i="9" s="1"/>
  <c r="AD12" i="9"/>
  <c r="V44" i="4"/>
  <c r="T6" i="9" s="1"/>
  <c r="J10" i="9" s="1"/>
  <c r="Q44" i="4"/>
  <c r="R6" i="9" s="1"/>
  <c r="S40" i="4"/>
  <c r="X46" i="4" s="1"/>
  <c r="E40" i="4"/>
  <c r="S39" i="4"/>
  <c r="X50" i="4" s="1"/>
  <c r="E39" i="4"/>
  <c r="X44" i="4" s="1"/>
  <c r="S38" i="4"/>
  <c r="X54" i="4" s="1"/>
  <c r="E38" i="4"/>
  <c r="X48" i="4" s="1"/>
  <c r="S37" i="4"/>
  <c r="J50" i="4" s="1"/>
  <c r="E37" i="4"/>
  <c r="J44" i="4" s="1"/>
  <c r="S36" i="4"/>
  <c r="J54" i="4" s="1"/>
  <c r="E36" i="4"/>
  <c r="X56" i="4" s="1"/>
  <c r="T34" i="4"/>
  <c r="G34" i="4"/>
  <c r="V25" i="4"/>
  <c r="AN18" i="9" s="1"/>
  <c r="AH20" i="9" s="1"/>
  <c r="Q25" i="4"/>
  <c r="AL18" i="9" s="1"/>
  <c r="Z38" i="9"/>
  <c r="V23" i="4"/>
  <c r="X10" i="9" s="1"/>
  <c r="R12" i="9" s="1"/>
  <c r="Q23" i="4"/>
  <c r="V10" i="9" s="1"/>
  <c r="AF14" i="9"/>
  <c r="Z16" i="9" s="1"/>
  <c r="AD14" i="9"/>
  <c r="V21" i="4"/>
  <c r="AP4" i="9" s="1"/>
  <c r="Q21" i="4"/>
  <c r="AR4" i="9" s="1"/>
  <c r="F22" i="9" s="1"/>
  <c r="AL44" i="9"/>
  <c r="V19" i="4"/>
  <c r="P6" i="9" s="1"/>
  <c r="J8" i="9" s="1"/>
  <c r="Q19" i="4"/>
  <c r="N6" i="9" s="1"/>
  <c r="AR20" i="9"/>
  <c r="AL22" i="9" s="1"/>
  <c r="AP20" i="9"/>
  <c r="V17" i="4"/>
  <c r="AJ16" i="9" s="1"/>
  <c r="AD18" i="9" s="1"/>
  <c r="Q17" i="4"/>
  <c r="AH16" i="9" s="1"/>
  <c r="N32" i="9"/>
  <c r="V15" i="4"/>
  <c r="AB12" i="9" s="1"/>
  <c r="V14" i="9" s="1"/>
  <c r="Q15" i="4"/>
  <c r="Z12" i="9" s="1"/>
  <c r="T8" i="9"/>
  <c r="N10" i="9" s="1"/>
  <c r="R8" i="9"/>
  <c r="V13" i="4"/>
  <c r="L4" i="9" s="1"/>
  <c r="F6" i="9" s="1"/>
  <c r="Q13" i="4"/>
  <c r="J4" i="9" s="1"/>
  <c r="S9" i="4"/>
  <c r="J21" i="4" s="1"/>
  <c r="E9" i="4"/>
  <c r="J15" i="4" s="1"/>
  <c r="S8" i="4"/>
  <c r="X25" i="4" s="1"/>
  <c r="E8" i="4"/>
  <c r="J23" i="4" s="1"/>
  <c r="S7" i="4"/>
  <c r="X17" i="4" s="1"/>
  <c r="E7" i="4"/>
  <c r="X19" i="4" s="1"/>
  <c r="S6" i="4"/>
  <c r="J17" i="4" s="1"/>
  <c r="E6" i="4"/>
  <c r="X13" i="4" s="1"/>
  <c r="S5" i="4"/>
  <c r="X15" i="4" s="1"/>
  <c r="E5" i="4"/>
  <c r="J13" i="4" s="1"/>
  <c r="AM3" i="4"/>
  <c r="T3" i="4"/>
  <c r="G3" i="4"/>
  <c r="A18" i="8"/>
  <c r="AI46" i="5"/>
  <c r="A2" i="8"/>
  <c r="AI54" i="5"/>
  <c r="AI48" i="4"/>
  <c r="AI15" i="7"/>
  <c r="AI23" i="6"/>
  <c r="A16" i="8"/>
  <c r="AI19" i="4"/>
  <c r="AI87" i="7"/>
  <c r="A14" i="8"/>
  <c r="A26" i="8"/>
  <c r="A51" i="9"/>
  <c r="A67" i="9"/>
  <c r="A57" i="9"/>
  <c r="AI50" i="7"/>
  <c r="AI23" i="5"/>
  <c r="A29" i="8"/>
  <c r="AI52" i="4"/>
  <c r="A77" i="9"/>
  <c r="AI17" i="7"/>
  <c r="AI21" i="6"/>
  <c r="A59" i="9"/>
  <c r="A45" i="9"/>
  <c r="A34" i="8"/>
  <c r="AI46" i="7"/>
  <c r="A38" i="8"/>
  <c r="AI25" i="7"/>
  <c r="A71" i="9"/>
  <c r="A11" i="8"/>
  <c r="A61" i="9"/>
  <c r="A6" i="8"/>
  <c r="AI54" i="4"/>
  <c r="A65" i="9"/>
  <c r="A13" i="8"/>
  <c r="AI44" i="4"/>
  <c r="A31" i="9"/>
  <c r="A19" i="9"/>
  <c r="AI15" i="6"/>
  <c r="AI19" i="7"/>
  <c r="A43" i="9"/>
  <c r="AI52" i="5"/>
  <c r="A28" i="8"/>
  <c r="A4" i="8"/>
  <c r="AI17" i="5"/>
  <c r="AI56" i="4"/>
  <c r="A17" i="9"/>
  <c r="A9" i="9"/>
  <c r="AI15" i="5"/>
  <c r="AI54" i="6"/>
  <c r="A81" i="9"/>
  <c r="AI15" i="4"/>
  <c r="A37" i="8"/>
  <c r="A12" i="8"/>
  <c r="AI44" i="5"/>
  <c r="A75" i="9"/>
  <c r="AI56" i="7"/>
  <c r="AI48" i="6"/>
  <c r="A39" i="8"/>
  <c r="A21" i="9"/>
  <c r="AI23" i="7"/>
  <c r="AI46" i="6"/>
  <c r="A39" i="9"/>
  <c r="A17" i="8"/>
  <c r="A9" i="8"/>
  <c r="AI21" i="5"/>
  <c r="A5" i="9"/>
  <c r="A23" i="8"/>
  <c r="AI50" i="6"/>
  <c r="A79" i="9"/>
  <c r="AI21" i="7"/>
  <c r="A73" i="9"/>
  <c r="AI17" i="4"/>
  <c r="A11" i="9"/>
  <c r="A55" i="9"/>
  <c r="A87" i="9"/>
  <c r="AI13" i="5"/>
  <c r="A83" i="9"/>
  <c r="A32" i="8"/>
  <c r="A7" i="8"/>
  <c r="A3" i="8"/>
  <c r="A33" i="9"/>
  <c r="AI44" i="6"/>
  <c r="A21" i="8"/>
  <c r="A37" i="9"/>
  <c r="AI118" i="7"/>
  <c r="A27" i="9"/>
  <c r="AI25" i="6"/>
  <c r="A22" i="8"/>
  <c r="AI46" i="4"/>
  <c r="A15" i="8"/>
  <c r="AI87" i="6"/>
  <c r="A27" i="8"/>
  <c r="A31" i="8"/>
  <c r="AI19" i="5"/>
  <c r="A5" i="8"/>
  <c r="AI19" i="6"/>
  <c r="A15" i="9"/>
  <c r="A63" i="9"/>
  <c r="AI56" i="5"/>
  <c r="AI50" i="5"/>
  <c r="A25" i="8"/>
  <c r="AI17" i="6"/>
  <c r="A35" i="8"/>
  <c r="AI13" i="6"/>
  <c r="AI25" i="4"/>
  <c r="A41" i="9"/>
  <c r="A85" i="9"/>
  <c r="AI48" i="7"/>
  <c r="AI118" i="6"/>
  <c r="AI54" i="7"/>
  <c r="A20" i="8"/>
  <c r="A24" i="8"/>
  <c r="A35" i="9"/>
  <c r="A36" i="8"/>
  <c r="AI52" i="7"/>
  <c r="A13" i="9"/>
  <c r="AI56" i="6"/>
  <c r="AI21" i="4"/>
  <c r="AI52" i="6"/>
  <c r="A23" i="9"/>
  <c r="AI48" i="5"/>
  <c r="A33" i="8"/>
  <c r="AI23" i="4"/>
  <c r="A7" i="9"/>
  <c r="A29" i="9"/>
  <c r="AI50" i="4"/>
  <c r="AI44" i="7"/>
  <c r="AI25" i="5"/>
  <c r="A53" i="9"/>
  <c r="A8" i="8"/>
  <c r="A10" i="8"/>
  <c r="AI13" i="7"/>
  <c r="A19" i="8"/>
  <c r="A30" i="8"/>
  <c r="J79" i="4" l="1"/>
  <c r="X87" i="4"/>
  <c r="J21" i="6"/>
  <c r="X23" i="6"/>
  <c r="J52" i="7"/>
  <c r="X21" i="6"/>
  <c r="X48" i="6"/>
  <c r="J15" i="7"/>
  <c r="X108" i="7"/>
  <c r="J85" i="4"/>
  <c r="J87" i="4"/>
  <c r="J77" i="4"/>
  <c r="X19" i="6"/>
  <c r="J48" i="6"/>
  <c r="X17" i="7"/>
  <c r="X15" i="7"/>
  <c r="J44" i="7"/>
  <c r="N78" i="9"/>
  <c r="T72" i="9"/>
  <c r="J76" i="9" s="1"/>
  <c r="V82" i="9"/>
  <c r="AN76" i="9"/>
  <c r="R86" i="9" s="1"/>
  <c r="N82" i="9"/>
  <c r="AN72" i="9"/>
  <c r="J86" i="9" s="1"/>
  <c r="V84" i="9"/>
  <c r="AN80" i="9"/>
  <c r="Z86" i="9" s="1"/>
  <c r="J78" i="9"/>
  <c r="AB74" i="9"/>
  <c r="N80" i="9" s="1"/>
  <c r="J84" i="9"/>
  <c r="AN74" i="9"/>
  <c r="N86" i="9" s="1"/>
  <c r="V62" i="9"/>
  <c r="AN56" i="9"/>
  <c r="R66" i="9" s="1"/>
  <c r="N58" i="9"/>
  <c r="T52" i="9"/>
  <c r="J56" i="9" s="1"/>
  <c r="AW56" i="9" s="1"/>
  <c r="N62" i="9"/>
  <c r="AN52" i="9"/>
  <c r="J66" i="9" s="1"/>
  <c r="J58" i="9"/>
  <c r="AW58" i="9" s="1"/>
  <c r="AB54" i="9"/>
  <c r="N60" i="9" s="1"/>
  <c r="AJ58" i="9"/>
  <c r="V64" i="9" s="1"/>
  <c r="AN60" i="9"/>
  <c r="Z66" i="9" s="1"/>
  <c r="J64" i="9"/>
  <c r="AN54" i="9"/>
  <c r="N66" i="9" s="1"/>
  <c r="Z44" i="9"/>
  <c r="AH26" i="9"/>
  <c r="R40" i="9"/>
  <c r="T28" i="9"/>
  <c r="J32" i="9" s="1"/>
  <c r="R44" i="9"/>
  <c r="AL32" i="9"/>
  <c r="N36" i="9"/>
  <c r="AW36" i="9" s="1"/>
  <c r="AN34" i="9"/>
  <c r="V42" i="9" s="1"/>
  <c r="J36" i="9"/>
  <c r="F34" i="9"/>
  <c r="Z42" i="9"/>
  <c r="AD28" i="9"/>
  <c r="AH28" i="9"/>
  <c r="AH44" i="9"/>
  <c r="AD26" i="9"/>
  <c r="H38" i="9" s="1"/>
  <c r="AD42" i="9"/>
  <c r="AF32" i="9"/>
  <c r="R38" i="9" s="1"/>
  <c r="Z40" i="9"/>
  <c r="T26" i="9"/>
  <c r="F32" i="9" s="1"/>
  <c r="J34" i="9"/>
  <c r="F30" i="9"/>
  <c r="AJ34" i="9"/>
  <c r="V40" i="9" s="1"/>
  <c r="J44" i="9"/>
  <c r="V28" i="9"/>
  <c r="U28" i="9" s="1"/>
  <c r="F38" i="9"/>
  <c r="J40" i="9"/>
  <c r="AB4" i="9"/>
  <c r="F14" i="9" s="1"/>
  <c r="AW14" i="9" s="1"/>
  <c r="V18" i="9"/>
  <c r="AL6" i="9"/>
  <c r="Z20" i="9"/>
  <c r="AW20" i="9" s="1"/>
  <c r="AR16" i="9"/>
  <c r="AD22" i="9" s="1"/>
  <c r="AW22" i="9" s="1"/>
  <c r="X6" i="9"/>
  <c r="J12" i="9" s="1"/>
  <c r="AW12" i="9" s="1"/>
  <c r="N14" i="9"/>
  <c r="AP8" i="9"/>
  <c r="P22" i="9" s="1"/>
  <c r="M22" i="9" s="1"/>
  <c r="X112" i="6"/>
  <c r="X118" i="5"/>
  <c r="X83" i="6"/>
  <c r="X108" i="6"/>
  <c r="J75" i="4"/>
  <c r="J118" i="5"/>
  <c r="X116" i="6"/>
  <c r="J110" i="6"/>
  <c r="B38" i="10"/>
  <c r="X21" i="4"/>
  <c r="J13" i="7"/>
  <c r="X44" i="7"/>
  <c r="J108" i="7"/>
  <c r="J19" i="4"/>
  <c r="J81" i="4"/>
  <c r="J83" i="4"/>
  <c r="X85" i="4"/>
  <c r="X81" i="4"/>
  <c r="X83" i="4"/>
  <c r="J85" i="6"/>
  <c r="X48" i="7"/>
  <c r="X87" i="7"/>
  <c r="AF84" i="9"/>
  <c r="AC84" i="9" s="1"/>
  <c r="AG82" i="9"/>
  <c r="L84" i="9"/>
  <c r="AG72" i="9"/>
  <c r="X84" i="9"/>
  <c r="AG78" i="9"/>
  <c r="L82" i="9"/>
  <c r="I82" i="9" s="1"/>
  <c r="AC72" i="9"/>
  <c r="AG80" i="9"/>
  <c r="AB84" i="9"/>
  <c r="Y84" i="9" s="1"/>
  <c r="T80" i="9"/>
  <c r="Q80" i="9" s="1"/>
  <c r="Y76" i="9"/>
  <c r="X80" i="9"/>
  <c r="U80" i="9" s="1"/>
  <c r="Y78" i="9"/>
  <c r="H82" i="9"/>
  <c r="E82" i="9" s="1"/>
  <c r="AC70" i="9"/>
  <c r="AC76" i="9"/>
  <c r="T82" i="9"/>
  <c r="Q82" i="9" s="1"/>
  <c r="AB82" i="9"/>
  <c r="Y82" i="9" s="1"/>
  <c r="AC80" i="9"/>
  <c r="L80" i="9"/>
  <c r="I80" i="9" s="1"/>
  <c r="Y72" i="9"/>
  <c r="H80" i="9"/>
  <c r="E80" i="9" s="1"/>
  <c r="Y70" i="9"/>
  <c r="P82" i="9"/>
  <c r="M82" i="9" s="1"/>
  <c r="AC74" i="9"/>
  <c r="T78" i="9"/>
  <c r="Q78" i="9" s="1"/>
  <c r="U76" i="9"/>
  <c r="AF86" i="9"/>
  <c r="AC86" i="9" s="1"/>
  <c r="AK82" i="9"/>
  <c r="U74" i="9"/>
  <c r="P78" i="9"/>
  <c r="M78" i="9" s="1"/>
  <c r="L78" i="9"/>
  <c r="I78" i="9" s="1"/>
  <c r="U72" i="9"/>
  <c r="X86" i="9"/>
  <c r="U86" i="9" s="1"/>
  <c r="AK78" i="9"/>
  <c r="U70" i="9"/>
  <c r="H78" i="9"/>
  <c r="E78" i="9" s="1"/>
  <c r="AG70" i="9"/>
  <c r="H84" i="9"/>
  <c r="E84" i="9" s="1"/>
  <c r="AW82" i="9"/>
  <c r="X82" i="9"/>
  <c r="AC78" i="9"/>
  <c r="AW78" i="9"/>
  <c r="AK70" i="9"/>
  <c r="H86" i="9"/>
  <c r="E86" i="9" s="1"/>
  <c r="H76" i="9"/>
  <c r="E76" i="9" s="1"/>
  <c r="Q70" i="9"/>
  <c r="AJ86" i="9"/>
  <c r="AG86" i="9" s="1"/>
  <c r="AK84" i="9"/>
  <c r="U56" i="9"/>
  <c r="T58" i="9"/>
  <c r="AW52" i="9"/>
  <c r="AW72" i="9"/>
  <c r="M50" i="9"/>
  <c r="H54" i="9"/>
  <c r="E54" i="9" s="1"/>
  <c r="AW74" i="9"/>
  <c r="M52" i="9"/>
  <c r="L54" i="9"/>
  <c r="I54" i="9" s="1"/>
  <c r="L74" i="9"/>
  <c r="M72" i="9"/>
  <c r="L64" i="9"/>
  <c r="AG52" i="9"/>
  <c r="AC50" i="9"/>
  <c r="H62" i="9"/>
  <c r="E62" i="9" s="1"/>
  <c r="AC60" i="9"/>
  <c r="AB62" i="9"/>
  <c r="X66" i="9"/>
  <c r="AK58" i="9"/>
  <c r="Y52" i="9"/>
  <c r="L60" i="9"/>
  <c r="I60" i="9" s="1"/>
  <c r="H58" i="9"/>
  <c r="U50" i="9"/>
  <c r="H66" i="9"/>
  <c r="AK50" i="9"/>
  <c r="Y50" i="9"/>
  <c r="H60" i="9"/>
  <c r="E60" i="9" s="1"/>
  <c r="U54" i="9"/>
  <c r="P58" i="9"/>
  <c r="P62" i="9"/>
  <c r="M62" i="9" s="1"/>
  <c r="AC54" i="9"/>
  <c r="AW50" i="9"/>
  <c r="I50" i="9"/>
  <c r="H52" i="9"/>
  <c r="E52" i="9" s="1"/>
  <c r="AW70" i="9"/>
  <c r="I70" i="9"/>
  <c r="H72" i="9"/>
  <c r="E72" i="9" s="1"/>
  <c r="AW54" i="9"/>
  <c r="AK62" i="9"/>
  <c r="AF66" i="9"/>
  <c r="AW62" i="9"/>
  <c r="X64" i="9"/>
  <c r="U64" i="9" s="1"/>
  <c r="AC56" i="9"/>
  <c r="T62" i="9"/>
  <c r="Q62" i="9" s="1"/>
  <c r="U52" i="9"/>
  <c r="L58" i="9"/>
  <c r="Q50" i="9"/>
  <c r="H56" i="9"/>
  <c r="E56" i="9" s="1"/>
  <c r="AW66" i="9"/>
  <c r="E66" i="9"/>
  <c r="AW76" i="9"/>
  <c r="AG50" i="9"/>
  <c r="H64" i="9"/>
  <c r="E64" i="9" s="1"/>
  <c r="AB64" i="9"/>
  <c r="Y64" i="9" s="1"/>
  <c r="AG60" i="9"/>
  <c r="T86" i="9"/>
  <c r="T60" i="9"/>
  <c r="Q60" i="9" s="1"/>
  <c r="Y56" i="9"/>
  <c r="Y58" i="9"/>
  <c r="X60" i="9"/>
  <c r="U60" i="9" s="1"/>
  <c r="AK64" i="9"/>
  <c r="AJ66" i="9"/>
  <c r="AG66" i="9" s="1"/>
  <c r="AK54" i="9"/>
  <c r="P66" i="9"/>
  <c r="M66" i="9" s="1"/>
  <c r="P86" i="9"/>
  <c r="AW80" i="9"/>
  <c r="AG56" i="9"/>
  <c r="T64" i="9"/>
  <c r="Q64" i="9" s="1"/>
  <c r="AG76" i="9"/>
  <c r="T84" i="9"/>
  <c r="Q84" i="9" s="1"/>
  <c r="Q54" i="9"/>
  <c r="P56" i="9"/>
  <c r="M56" i="9" s="1"/>
  <c r="Q74" i="9"/>
  <c r="P76" i="9"/>
  <c r="M76" i="9" s="1"/>
  <c r="AC52" i="9"/>
  <c r="L62" i="9"/>
  <c r="I62" i="9" s="1"/>
  <c r="AG74" i="9"/>
  <c r="P84" i="9"/>
  <c r="M84" i="9" s="1"/>
  <c r="L56" i="9"/>
  <c r="Q72" i="9"/>
  <c r="L76" i="9"/>
  <c r="I76" i="9" s="1"/>
  <c r="AK52" i="9"/>
  <c r="L66" i="9"/>
  <c r="I66" i="9" s="1"/>
  <c r="AK72" i="9"/>
  <c r="L86" i="9"/>
  <c r="I86" i="9" s="1"/>
  <c r="AK56" i="9"/>
  <c r="T66" i="9"/>
  <c r="Q66" i="9" s="1"/>
  <c r="Q58" i="9"/>
  <c r="AC66" i="9"/>
  <c r="AG62" i="9"/>
  <c r="AF64" i="9"/>
  <c r="AC64" i="9" s="1"/>
  <c r="M70" i="9"/>
  <c r="H74" i="9"/>
  <c r="E74" i="9" s="1"/>
  <c r="AK60" i="9"/>
  <c r="AB66" i="9"/>
  <c r="Y66" i="9" s="1"/>
  <c r="AK80" i="9"/>
  <c r="AB86" i="9"/>
  <c r="P60" i="9"/>
  <c r="P80" i="9"/>
  <c r="Y74" i="9"/>
  <c r="E58" i="9"/>
  <c r="AG54" i="9"/>
  <c r="P64" i="9"/>
  <c r="M64" i="9" s="1"/>
  <c r="AW60" i="9"/>
  <c r="AW86" i="9"/>
  <c r="AC58" i="9"/>
  <c r="X62" i="9"/>
  <c r="U62" i="9" s="1"/>
  <c r="I74" i="9"/>
  <c r="Y62" i="9"/>
  <c r="U66" i="9"/>
  <c r="I26" i="9"/>
  <c r="H28" i="9"/>
  <c r="E28" i="9" s="1"/>
  <c r="AG38" i="9"/>
  <c r="AF40" i="9"/>
  <c r="AC40" i="9" s="1"/>
  <c r="T34" i="9"/>
  <c r="Q34" i="9" s="1"/>
  <c r="U32" i="9"/>
  <c r="AK40" i="9"/>
  <c r="AJ42" i="9"/>
  <c r="AG42" i="9" s="1"/>
  <c r="L44" i="9"/>
  <c r="I44" i="9" s="1"/>
  <c r="AK26" i="9"/>
  <c r="H42" i="9"/>
  <c r="E42" i="9" s="1"/>
  <c r="AB42" i="9"/>
  <c r="AK36" i="9"/>
  <c r="H34" i="9"/>
  <c r="U26" i="9"/>
  <c r="AC28" i="9"/>
  <c r="L38" i="9"/>
  <c r="I38" i="9" s="1"/>
  <c r="P40" i="9"/>
  <c r="M40" i="9" s="1"/>
  <c r="AG30" i="9"/>
  <c r="H44" i="9"/>
  <c r="E44" i="9" s="1"/>
  <c r="L32" i="9"/>
  <c r="Q28" i="9"/>
  <c r="H30" i="9"/>
  <c r="E30" i="9" s="1"/>
  <c r="M26" i="9"/>
  <c r="P36" i="9"/>
  <c r="Y30" i="9"/>
  <c r="T38" i="9"/>
  <c r="AC32" i="9"/>
  <c r="X40" i="9"/>
  <c r="P44" i="9"/>
  <c r="M44" i="9" s="1"/>
  <c r="AG32" i="9"/>
  <c r="T40" i="9"/>
  <c r="L40" i="9"/>
  <c r="AG28" i="9"/>
  <c r="T42" i="9"/>
  <c r="Q42" i="9" s="1"/>
  <c r="AK32" i="9"/>
  <c r="X36" i="9"/>
  <c r="U36" i="9" s="1"/>
  <c r="Y34" i="9"/>
  <c r="M28" i="9"/>
  <c r="L30" i="9"/>
  <c r="I30" i="9" s="1"/>
  <c r="L34" i="9"/>
  <c r="I34" i="9" s="1"/>
  <c r="H40" i="9"/>
  <c r="AG26" i="9"/>
  <c r="L42" i="9"/>
  <c r="I42" i="9" s="1"/>
  <c r="AK28" i="9"/>
  <c r="H32" i="9"/>
  <c r="AB44" i="9"/>
  <c r="Y44" i="9" s="1"/>
  <c r="T44" i="9"/>
  <c r="Q44" i="9" s="1"/>
  <c r="X44" i="9"/>
  <c r="U44" i="9" s="1"/>
  <c r="AW28" i="9"/>
  <c r="AJ44" i="9"/>
  <c r="AG44" i="9" s="1"/>
  <c r="AK38" i="9"/>
  <c r="AF42" i="9"/>
  <c r="AC42" i="9" s="1"/>
  <c r="AB40" i="9"/>
  <c r="Y40" i="9" s="1"/>
  <c r="AG36" i="9"/>
  <c r="AF44" i="9"/>
  <c r="AC44" i="9" s="1"/>
  <c r="E40" i="9"/>
  <c r="L36" i="9"/>
  <c r="I36" i="9" s="1"/>
  <c r="Y28" i="9"/>
  <c r="Y26" i="9"/>
  <c r="H36" i="9"/>
  <c r="E36" i="9" s="1"/>
  <c r="J108" i="4"/>
  <c r="J50" i="6"/>
  <c r="J83" i="6"/>
  <c r="J112" i="6"/>
  <c r="X114" i="7"/>
  <c r="J106" i="6"/>
  <c r="X19" i="7"/>
  <c r="J50" i="7"/>
  <c r="X116" i="7"/>
  <c r="J46" i="4"/>
  <c r="X23" i="4"/>
  <c r="X77" i="4"/>
  <c r="X13" i="6"/>
  <c r="J75" i="6"/>
  <c r="X106" i="6"/>
  <c r="J23" i="7"/>
  <c r="X50" i="7"/>
  <c r="X75" i="7"/>
  <c r="X75" i="4"/>
  <c r="J114" i="4"/>
  <c r="J44" i="6"/>
  <c r="J81" i="6"/>
  <c r="P32" i="9"/>
  <c r="M32" i="9" s="1"/>
  <c r="AW30" i="9"/>
  <c r="Q30" i="9"/>
  <c r="AO20" i="9"/>
  <c r="AN22" i="9"/>
  <c r="AJ20" i="9"/>
  <c r="AK18" i="9"/>
  <c r="Q6" i="9"/>
  <c r="L10" i="9"/>
  <c r="I10" i="9" s="1"/>
  <c r="AC12" i="9"/>
  <c r="X16" i="9"/>
  <c r="U16" i="9" s="1"/>
  <c r="Y10" i="9"/>
  <c r="T14" i="9"/>
  <c r="Q14" i="9" s="1"/>
  <c r="AK16" i="9"/>
  <c r="AF20" i="9"/>
  <c r="AC20" i="9" s="1"/>
  <c r="AG10" i="9"/>
  <c r="T18" i="9"/>
  <c r="Q18" i="9" s="1"/>
  <c r="AO14" i="9"/>
  <c r="AB22" i="9"/>
  <c r="Y22" i="9" s="1"/>
  <c r="AK8" i="9"/>
  <c r="P20" i="9"/>
  <c r="M20" i="9" s="1"/>
  <c r="AW4" i="9"/>
  <c r="I4" i="9"/>
  <c r="H6" i="9"/>
  <c r="E6" i="9" s="1"/>
  <c r="L8" i="9"/>
  <c r="M6" i="9"/>
  <c r="AW44" i="9"/>
  <c r="T12" i="9"/>
  <c r="U10" i="9"/>
  <c r="AO18" i="9"/>
  <c r="AJ22" i="9"/>
  <c r="AG22" i="9" s="1"/>
  <c r="U8" i="9"/>
  <c r="P12" i="9"/>
  <c r="M12" i="9" s="1"/>
  <c r="P14" i="9"/>
  <c r="M14" i="9" s="1"/>
  <c r="Y8" i="9"/>
  <c r="H18" i="9"/>
  <c r="E18" i="9" s="1"/>
  <c r="AG4" i="9"/>
  <c r="X18" i="9"/>
  <c r="U18" i="9" s="1"/>
  <c r="AG12" i="9"/>
  <c r="AW10" i="9"/>
  <c r="Y6" i="9"/>
  <c r="L14" i="9"/>
  <c r="I14" i="9" s="1"/>
  <c r="L16" i="9"/>
  <c r="AC6" i="9"/>
  <c r="AO12" i="9"/>
  <c r="X22" i="9"/>
  <c r="U22" i="9" s="1"/>
  <c r="Q12" i="9"/>
  <c r="Q8" i="9"/>
  <c r="P10" i="9"/>
  <c r="M10" i="9" s="1"/>
  <c r="AN44" i="9"/>
  <c r="AK44" i="9" s="1"/>
  <c r="AC34" i="9"/>
  <c r="X38" i="9"/>
  <c r="U38" i="9" s="1"/>
  <c r="Y32" i="9"/>
  <c r="T36" i="9"/>
  <c r="Q36" i="9" s="1"/>
  <c r="AG14" i="9"/>
  <c r="AB18" i="9"/>
  <c r="Y18" i="9" s="1"/>
  <c r="AK14" i="9"/>
  <c r="AB20" i="9"/>
  <c r="Y20" i="9" s="1"/>
  <c r="AK12" i="9"/>
  <c r="X20" i="9"/>
  <c r="U20" i="9" s="1"/>
  <c r="AK34" i="9"/>
  <c r="X42" i="9"/>
  <c r="U42" i="9" s="1"/>
  <c r="AG6" i="9"/>
  <c r="L18" i="9"/>
  <c r="AO10" i="9"/>
  <c r="T22" i="9"/>
  <c r="Q22" i="9" s="1"/>
  <c r="U4" i="9"/>
  <c r="H12" i="9"/>
  <c r="E12" i="9" s="1"/>
  <c r="AG8" i="9"/>
  <c r="P18" i="9"/>
  <c r="M18" i="9" s="1"/>
  <c r="AW6" i="9"/>
  <c r="AG16" i="9"/>
  <c r="AF18" i="9"/>
  <c r="AC18" i="9" s="1"/>
  <c r="AO4" i="9"/>
  <c r="H22" i="9"/>
  <c r="E22" i="9" s="1"/>
  <c r="AC36" i="9"/>
  <c r="AB38" i="9"/>
  <c r="Y38" i="9" s="1"/>
  <c r="AW8" i="9"/>
  <c r="AO6" i="9"/>
  <c r="L22" i="9"/>
  <c r="U6" i="9"/>
  <c r="L12" i="9"/>
  <c r="AW18" i="9"/>
  <c r="H10" i="9"/>
  <c r="E10" i="9" s="1"/>
  <c r="Q4" i="9"/>
  <c r="AC30" i="9"/>
  <c r="P38" i="9"/>
  <c r="M38" i="9" s="1"/>
  <c r="Y12" i="9"/>
  <c r="X14" i="9"/>
  <c r="U14" i="9" s="1"/>
  <c r="M4" i="9"/>
  <c r="H8" i="9"/>
  <c r="E8" i="9" s="1"/>
  <c r="U30" i="9"/>
  <c r="P34" i="9"/>
  <c r="M34" i="9" s="1"/>
  <c r="AK4" i="9"/>
  <c r="H20" i="9"/>
  <c r="E20" i="9" s="1"/>
  <c r="AF22" i="9"/>
  <c r="AC10" i="9"/>
  <c r="T16" i="9"/>
  <c r="Q16" i="9" s="1"/>
  <c r="AK6" i="9"/>
  <c r="L20" i="9"/>
  <c r="I20" i="9" s="1"/>
  <c r="AC8" i="9"/>
  <c r="P16" i="9"/>
  <c r="M16" i="9" s="1"/>
  <c r="AC4" i="9"/>
  <c r="H16" i="9"/>
  <c r="E16" i="9" s="1"/>
  <c r="AK30" i="9"/>
  <c r="P42" i="9"/>
  <c r="M42" i="9" s="1"/>
  <c r="Y4" i="9"/>
  <c r="H14" i="9"/>
  <c r="AK22" i="9"/>
  <c r="AG20" i="9"/>
  <c r="I22" i="9"/>
  <c r="I18" i="9"/>
  <c r="AB16" i="9"/>
  <c r="Y16" i="9" s="1"/>
  <c r="AC14" i="9"/>
  <c r="AW16" i="9"/>
  <c r="AW42" i="9"/>
  <c r="T20" i="9"/>
  <c r="Q20" i="9" s="1"/>
  <c r="AK10" i="9"/>
  <c r="I8" i="9"/>
  <c r="I16" i="9"/>
  <c r="X52" i="4"/>
  <c r="X106" i="4"/>
  <c r="X110" i="4"/>
  <c r="X112" i="4"/>
  <c r="X114" i="4"/>
  <c r="J25" i="5"/>
  <c r="J13" i="6"/>
  <c r="J15" i="6"/>
  <c r="J17" i="6"/>
  <c r="J19" i="6"/>
  <c r="J23" i="6"/>
  <c r="X44" i="6"/>
  <c r="X46" i="6"/>
  <c r="X50" i="6"/>
  <c r="X52" i="6"/>
  <c r="J48" i="4"/>
  <c r="J52" i="4"/>
  <c r="J56" i="4"/>
  <c r="J108" i="6"/>
  <c r="J116" i="6"/>
  <c r="J17" i="7"/>
  <c r="J19" i="7"/>
  <c r="J21" i="7"/>
  <c r="J48" i="7"/>
  <c r="J54" i="7"/>
  <c r="J75" i="7"/>
  <c r="J77" i="7"/>
  <c r="J79" i="7"/>
  <c r="J81" i="7"/>
  <c r="J85" i="7"/>
  <c r="J106" i="7"/>
  <c r="J114" i="7"/>
  <c r="J116" i="7"/>
  <c r="J25" i="4"/>
  <c r="J77" i="6"/>
  <c r="B43" i="10"/>
  <c r="B30" i="10"/>
  <c r="B10" i="10"/>
  <c r="B23" i="10"/>
  <c r="B18" i="10"/>
  <c r="B32" i="10"/>
  <c r="B33" i="10"/>
  <c r="B29" i="10"/>
  <c r="B8" i="10"/>
  <c r="Q49" i="9"/>
  <c r="AG49" i="9"/>
  <c r="I69" i="9"/>
  <c r="Y69" i="9"/>
  <c r="B15" i="10"/>
  <c r="B31" i="10"/>
  <c r="B39" i="10"/>
  <c r="B20" i="10"/>
  <c r="E3" i="9"/>
  <c r="I3" i="9"/>
  <c r="Q3" i="9"/>
  <c r="U3" i="9"/>
  <c r="AC3" i="9"/>
  <c r="AO3" i="9"/>
  <c r="E49" i="9"/>
  <c r="AK49" i="9"/>
  <c r="AC69" i="9"/>
  <c r="B36" i="10"/>
  <c r="B9" i="10"/>
  <c r="B42" i="10"/>
  <c r="B7" i="10"/>
  <c r="B28" i="10"/>
  <c r="B25" i="10"/>
  <c r="B41" i="10"/>
  <c r="B34" i="10"/>
  <c r="E25" i="9"/>
  <c r="I25" i="9"/>
  <c r="M25" i="9"/>
  <c r="Q25" i="9"/>
  <c r="U25" i="9"/>
  <c r="Y25" i="9"/>
  <c r="AC25" i="9"/>
  <c r="AG25" i="9"/>
  <c r="AK25" i="9"/>
  <c r="M49" i="9"/>
  <c r="AC49" i="9"/>
  <c r="E69" i="9"/>
  <c r="U69" i="9"/>
  <c r="AK69" i="9"/>
  <c r="B35" i="10"/>
  <c r="B16" i="10"/>
  <c r="B26" i="10"/>
  <c r="B11" i="10"/>
  <c r="B40" i="10"/>
  <c r="B27" i="10"/>
  <c r="M3" i="9"/>
  <c r="Y3" i="9"/>
  <c r="AG3" i="9"/>
  <c r="AK3" i="9"/>
  <c r="U49" i="9"/>
  <c r="M69" i="9"/>
  <c r="B13" i="10"/>
  <c r="B21" i="10"/>
  <c r="B22" i="10"/>
  <c r="B37" i="10"/>
  <c r="B14" i="10"/>
  <c r="B19" i="10"/>
  <c r="B24" i="10"/>
  <c r="B12" i="10"/>
  <c r="B17" i="10"/>
  <c r="B6" i="10"/>
  <c r="I49" i="9"/>
  <c r="Y49" i="9"/>
  <c r="Q69" i="9"/>
  <c r="AG69" i="9"/>
  <c r="G28" i="8"/>
  <c r="G4" i="8"/>
  <c r="G11" i="8"/>
  <c r="G31" i="8"/>
  <c r="G33" i="8"/>
  <c r="G13" i="8"/>
  <c r="G39" i="8"/>
  <c r="G23" i="8"/>
  <c r="G9" i="8"/>
  <c r="G30" i="8"/>
  <c r="G32" i="8"/>
  <c r="G20" i="8"/>
  <c r="G21" i="8"/>
  <c r="G26" i="8"/>
  <c r="G17" i="8"/>
  <c r="G27" i="8"/>
  <c r="G5" i="8"/>
  <c r="G14" i="8"/>
  <c r="G7" i="8"/>
  <c r="G10" i="8"/>
  <c r="G24" i="8"/>
  <c r="G25" i="8"/>
  <c r="G35" i="8"/>
  <c r="G6" i="8"/>
  <c r="G22" i="8"/>
  <c r="G8" i="8"/>
  <c r="G37" i="8"/>
  <c r="G2" i="8"/>
  <c r="G3" i="8"/>
  <c r="G34" i="8"/>
  <c r="G36" i="8"/>
  <c r="M80" i="9" l="1"/>
  <c r="Y86" i="9"/>
  <c r="M86" i="9"/>
  <c r="AK74" i="9"/>
  <c r="I84" i="9"/>
  <c r="M60" i="9"/>
  <c r="Y54" i="9"/>
  <c r="AW64" i="9"/>
  <c r="AV64" i="9" s="1"/>
  <c r="AG58" i="9"/>
  <c r="AG34" i="9"/>
  <c r="E38" i="9"/>
  <c r="Y42" i="9"/>
  <c r="AW40" i="9"/>
  <c r="AV40" i="9" s="1"/>
  <c r="Q40" i="9"/>
  <c r="U40" i="9"/>
  <c r="M36" i="9"/>
  <c r="U84" i="9"/>
  <c r="AW34" i="9"/>
  <c r="AW84" i="9"/>
  <c r="AW38" i="9"/>
  <c r="AV38" i="9" s="1"/>
  <c r="I58" i="9"/>
  <c r="I64" i="9"/>
  <c r="U82" i="9"/>
  <c r="AW32" i="9"/>
  <c r="AK76" i="9"/>
  <c r="Q86" i="9"/>
  <c r="M58" i="9"/>
  <c r="Q52" i="9"/>
  <c r="AS52" i="9" s="1"/>
  <c r="I56" i="9"/>
  <c r="I32" i="9"/>
  <c r="E34" i="9"/>
  <c r="AW26" i="9"/>
  <c r="AC26" i="9"/>
  <c r="E32" i="9"/>
  <c r="Q38" i="9"/>
  <c r="Q26" i="9"/>
  <c r="I40" i="9"/>
  <c r="E14" i="9"/>
  <c r="AO16" i="9"/>
  <c r="AC22" i="9"/>
  <c r="AO8" i="9"/>
  <c r="AT8" i="9" s="1"/>
  <c r="I12" i="9"/>
  <c r="H38" i="10"/>
  <c r="H34" i="10"/>
  <c r="H20" i="10"/>
  <c r="AS82" i="9"/>
  <c r="AT82" i="9"/>
  <c r="AV82" i="9"/>
  <c r="AV78" i="9"/>
  <c r="AS78" i="9"/>
  <c r="AT78" i="9"/>
  <c r="H11" i="10"/>
  <c r="H17" i="10"/>
  <c r="H40" i="10"/>
  <c r="H41" i="10"/>
  <c r="H29" i="10"/>
  <c r="H12" i="10"/>
  <c r="H19" i="10"/>
  <c r="H24" i="10"/>
  <c r="H8" i="10"/>
  <c r="H28" i="10"/>
  <c r="H39" i="10"/>
  <c r="H27" i="10"/>
  <c r="H33" i="10"/>
  <c r="H32" i="10"/>
  <c r="AS86" i="9"/>
  <c r="AT86" i="9"/>
  <c r="AS54" i="9"/>
  <c r="AT54" i="9"/>
  <c r="AT74" i="9"/>
  <c r="AS74" i="9"/>
  <c r="AS76" i="9"/>
  <c r="AT76" i="9"/>
  <c r="AS84" i="9"/>
  <c r="AT84" i="9"/>
  <c r="AS62" i="9"/>
  <c r="AT62" i="9"/>
  <c r="AV60" i="9"/>
  <c r="AV76" i="9"/>
  <c r="AV70" i="9"/>
  <c r="AV74" i="9"/>
  <c r="AV72" i="9"/>
  <c r="AS60" i="9"/>
  <c r="AT60" i="9"/>
  <c r="AV66" i="9"/>
  <c r="AS70" i="9"/>
  <c r="AT70" i="9"/>
  <c r="AV50" i="9"/>
  <c r="AT64" i="9"/>
  <c r="AS64" i="9"/>
  <c r="AS72" i="9"/>
  <c r="AT72" i="9"/>
  <c r="AV58" i="9"/>
  <c r="AV80" i="9"/>
  <c r="AS66" i="9"/>
  <c r="AT66" i="9"/>
  <c r="AS50" i="9"/>
  <c r="AT50" i="9"/>
  <c r="AV56" i="9"/>
  <c r="AV52" i="9"/>
  <c r="AV86" i="9"/>
  <c r="AV84" i="9"/>
  <c r="AS58" i="9"/>
  <c r="AT58" i="9"/>
  <c r="AS80" i="9"/>
  <c r="AT80" i="9"/>
  <c r="AV62" i="9"/>
  <c r="AV54" i="9"/>
  <c r="AT56" i="9"/>
  <c r="AS56" i="9"/>
  <c r="H42" i="10"/>
  <c r="AV28" i="9"/>
  <c r="AT26" i="9"/>
  <c r="AS26" i="9"/>
  <c r="AS28" i="9"/>
  <c r="AT28" i="9"/>
  <c r="AV26" i="9"/>
  <c r="AS40" i="9"/>
  <c r="AT40" i="9"/>
  <c r="H16" i="10"/>
  <c r="H21" i="10"/>
  <c r="H18" i="10"/>
  <c r="H9" i="10"/>
  <c r="H43" i="10"/>
  <c r="H15" i="10"/>
  <c r="H37" i="10"/>
  <c r="H30" i="10"/>
  <c r="H35" i="10"/>
  <c r="H36" i="10"/>
  <c r="H7" i="10"/>
  <c r="H13" i="10"/>
  <c r="H22" i="10"/>
  <c r="AS20" i="9"/>
  <c r="AT20" i="9"/>
  <c r="AS38" i="9"/>
  <c r="AT38" i="9"/>
  <c r="AS10" i="9"/>
  <c r="AT10" i="9"/>
  <c r="AS36" i="9"/>
  <c r="AT36" i="9"/>
  <c r="AT14" i="9"/>
  <c r="AS14" i="9"/>
  <c r="AS12" i="9"/>
  <c r="AT12" i="9"/>
  <c r="AS42" i="9"/>
  <c r="AT42" i="9"/>
  <c r="AV22" i="9"/>
  <c r="AV12" i="9"/>
  <c r="AV44" i="9"/>
  <c r="AS4" i="9"/>
  <c r="AT4" i="9"/>
  <c r="AV42" i="9"/>
  <c r="AT32" i="9"/>
  <c r="AS32" i="9"/>
  <c r="AV18" i="9"/>
  <c r="AS34" i="9"/>
  <c r="AT34" i="9"/>
  <c r="AV8" i="9"/>
  <c r="AT6" i="9"/>
  <c r="AS6" i="9"/>
  <c r="AV14" i="9"/>
  <c r="AS44" i="9"/>
  <c r="AT44" i="9"/>
  <c r="AV30" i="9"/>
  <c r="AV16" i="9"/>
  <c r="AV32" i="9"/>
  <c r="AS18" i="9"/>
  <c r="AT18" i="9"/>
  <c r="AV34" i="9"/>
  <c r="AV6" i="9"/>
  <c r="AV10" i="9"/>
  <c r="AV36" i="9"/>
  <c r="AS30" i="9"/>
  <c r="AT30" i="9"/>
  <c r="AS16" i="9"/>
  <c r="AT16" i="9"/>
  <c r="AT22" i="9"/>
  <c r="AS22" i="9"/>
  <c r="AV4" i="9"/>
  <c r="AV20" i="9"/>
  <c r="G29" i="8"/>
  <c r="C33" i="8"/>
  <c r="E14" i="8"/>
  <c r="F24" i="8"/>
  <c r="F25" i="8"/>
  <c r="F15" i="8"/>
  <c r="D30" i="8"/>
  <c r="C32" i="8"/>
  <c r="C17" i="8"/>
  <c r="E30" i="8"/>
  <c r="G38" i="8"/>
  <c r="E36" i="8"/>
  <c r="C7" i="8"/>
  <c r="D14" i="8"/>
  <c r="C29" i="8"/>
  <c r="F31" i="8"/>
  <c r="D39" i="8"/>
  <c r="F6" i="8"/>
  <c r="C18" i="8"/>
  <c r="D9" i="8"/>
  <c r="D32" i="8"/>
  <c r="D11" i="8"/>
  <c r="C26" i="8"/>
  <c r="C21" i="8"/>
  <c r="E8" i="8"/>
  <c r="E4" i="8"/>
  <c r="F34" i="8"/>
  <c r="E15" i="8"/>
  <c r="F2" i="8"/>
  <c r="F21" i="8"/>
  <c r="C31" i="8"/>
  <c r="E17" i="8"/>
  <c r="F22" i="8"/>
  <c r="F27" i="8"/>
  <c r="D8" i="8"/>
  <c r="D35" i="8"/>
  <c r="F19" i="8"/>
  <c r="F16" i="8"/>
  <c r="E31" i="8"/>
  <c r="F20" i="8"/>
  <c r="D22" i="8"/>
  <c r="D13" i="8"/>
  <c r="E26" i="8"/>
  <c r="E3" i="8"/>
  <c r="E19" i="8"/>
  <c r="C19" i="8"/>
  <c r="C4" i="8"/>
  <c r="E16" i="8"/>
  <c r="D25" i="8"/>
  <c r="C25" i="8"/>
  <c r="C34" i="8"/>
  <c r="G16" i="8"/>
  <c r="E34" i="8"/>
  <c r="E5" i="8"/>
  <c r="F7" i="8"/>
  <c r="F29" i="8"/>
  <c r="D15" i="8"/>
  <c r="F9" i="8"/>
  <c r="D12" i="8"/>
  <c r="D34" i="8"/>
  <c r="C11" i="8"/>
  <c r="E6" i="8"/>
  <c r="D17" i="8"/>
  <c r="E18" i="8"/>
  <c r="F8" i="8"/>
  <c r="E7" i="8"/>
  <c r="D26" i="8"/>
  <c r="F38" i="8"/>
  <c r="C9" i="8"/>
  <c r="E39" i="8"/>
  <c r="C14" i="8"/>
  <c r="C22" i="8"/>
  <c r="D37" i="8"/>
  <c r="D6" i="8"/>
  <c r="F35" i="8"/>
  <c r="E35" i="8"/>
  <c r="F10" i="8"/>
  <c r="C27" i="8"/>
  <c r="E28" i="8"/>
  <c r="D20" i="8"/>
  <c r="G19" i="8"/>
  <c r="D19" i="8"/>
  <c r="F37" i="8"/>
  <c r="F3" i="8"/>
  <c r="D3" i="8"/>
  <c r="E2" i="8"/>
  <c r="C10" i="8"/>
  <c r="D38" i="8"/>
  <c r="E32" i="8"/>
  <c r="D5" i="8"/>
  <c r="C8" i="8"/>
  <c r="C36" i="8"/>
  <c r="F28" i="8"/>
  <c r="E11" i="8"/>
  <c r="E20" i="8"/>
  <c r="F33" i="8"/>
  <c r="E21" i="8"/>
  <c r="F23" i="8"/>
  <c r="C5" i="8"/>
  <c r="E12" i="8"/>
  <c r="C20" i="8"/>
  <c r="E37" i="8"/>
  <c r="G12" i="8"/>
  <c r="C15" i="8"/>
  <c r="F4" i="8"/>
  <c r="C35" i="8"/>
  <c r="E29" i="8"/>
  <c r="D33" i="8"/>
  <c r="E38" i="8"/>
  <c r="E9" i="8"/>
  <c r="D24" i="8"/>
  <c r="F18" i="8"/>
  <c r="D21" i="8"/>
  <c r="F14" i="8"/>
  <c r="D36" i="8"/>
  <c r="E25" i="8"/>
  <c r="C12" i="8"/>
  <c r="E22" i="8"/>
  <c r="D28" i="8"/>
  <c r="F12" i="8"/>
  <c r="D2" i="8"/>
  <c r="F17" i="8"/>
  <c r="C13" i="8"/>
  <c r="F32" i="8"/>
  <c r="F30" i="8"/>
  <c r="E27" i="8"/>
  <c r="F39" i="8"/>
  <c r="E33" i="8"/>
  <c r="C38" i="8"/>
  <c r="E10" i="8"/>
  <c r="E24" i="8"/>
  <c r="G15" i="8"/>
  <c r="F26" i="8"/>
  <c r="D31" i="8"/>
  <c r="F36" i="8"/>
  <c r="D29" i="8"/>
  <c r="E13" i="8"/>
  <c r="D16" i="8"/>
  <c r="C24" i="8"/>
  <c r="C28" i="8"/>
  <c r="C2" i="8"/>
  <c r="C6" i="8"/>
  <c r="D27" i="8"/>
  <c r="F13" i="8"/>
  <c r="D23" i="8"/>
  <c r="C30" i="8"/>
  <c r="D7" i="8"/>
  <c r="F11" i="8"/>
  <c r="G18" i="8"/>
  <c r="C39" i="8"/>
  <c r="D10" i="8"/>
  <c r="D18" i="8"/>
  <c r="C37" i="8"/>
  <c r="C16" i="8"/>
  <c r="C3" i="8"/>
  <c r="F5" i="8"/>
  <c r="H25" i="10" l="1"/>
  <c r="H31" i="10"/>
  <c r="H14" i="10"/>
  <c r="H6" i="10"/>
  <c r="H23" i="10"/>
  <c r="H26" i="10"/>
  <c r="AT52" i="9"/>
  <c r="AU52" i="9" s="1"/>
  <c r="AX52" i="9" s="1"/>
  <c r="H10" i="10"/>
  <c r="AS8" i="9"/>
  <c r="AU8" i="9" s="1"/>
  <c r="AX8" i="9" s="1"/>
  <c r="G38" i="10"/>
  <c r="D38" i="10"/>
  <c r="E38" i="10"/>
  <c r="G34" i="10"/>
  <c r="G20" i="10"/>
  <c r="E20" i="10"/>
  <c r="D20" i="10"/>
  <c r="E34" i="10"/>
  <c r="D34" i="10"/>
  <c r="AU78" i="9"/>
  <c r="AX78" i="9" s="1"/>
  <c r="AU82" i="9"/>
  <c r="AX82" i="9" s="1"/>
  <c r="G33" i="10"/>
  <c r="G40" i="10"/>
  <c r="E29" i="10"/>
  <c r="D40" i="10"/>
  <c r="E11" i="10"/>
  <c r="E33" i="10"/>
  <c r="E17" i="10"/>
  <c r="E32" i="10"/>
  <c r="E27" i="10"/>
  <c r="G32" i="10"/>
  <c r="G39" i="10"/>
  <c r="G19" i="10"/>
  <c r="G25" i="10"/>
  <c r="E12" i="10"/>
  <c r="D24" i="10"/>
  <c r="D12" i="10"/>
  <c r="D29" i="10"/>
  <c r="D11" i="10"/>
  <c r="D33" i="10"/>
  <c r="D17" i="10"/>
  <c r="D32" i="10"/>
  <c r="D27" i="10"/>
  <c r="G28" i="10"/>
  <c r="G27" i="10"/>
  <c r="G24" i="10"/>
  <c r="G12" i="10"/>
  <c r="G41" i="10"/>
  <c r="G11" i="10"/>
  <c r="E24" i="10"/>
  <c r="D28" i="10"/>
  <c r="E8" i="10"/>
  <c r="E19" i="10"/>
  <c r="D25" i="10"/>
  <c r="E6" i="10"/>
  <c r="D41" i="10"/>
  <c r="E39" i="10"/>
  <c r="G6" i="10"/>
  <c r="G8" i="10"/>
  <c r="G29" i="10"/>
  <c r="G17" i="10"/>
  <c r="E28" i="10"/>
  <c r="D8" i="10"/>
  <c r="D19" i="10"/>
  <c r="E25" i="10"/>
  <c r="E40" i="10"/>
  <c r="D6" i="10"/>
  <c r="E41" i="10"/>
  <c r="AU72" i="9"/>
  <c r="AX72" i="9" s="1"/>
  <c r="AU60" i="9"/>
  <c r="AX60" i="9" s="1"/>
  <c r="AU62" i="9"/>
  <c r="AX62" i="9" s="1"/>
  <c r="AU76" i="9"/>
  <c r="AX76" i="9" s="1"/>
  <c r="AU54" i="9"/>
  <c r="AX54" i="9" s="1"/>
  <c r="AU86" i="9"/>
  <c r="AX86" i="9" s="1"/>
  <c r="AU66" i="9"/>
  <c r="AX66" i="9" s="1"/>
  <c r="AU58" i="9"/>
  <c r="AX58" i="9" s="1"/>
  <c r="AU80" i="9"/>
  <c r="AX80" i="9" s="1"/>
  <c r="AU50" i="9"/>
  <c r="AX50" i="9" s="1"/>
  <c r="AU84" i="9"/>
  <c r="AX84" i="9" s="1"/>
  <c r="AU56" i="9"/>
  <c r="AX56" i="9" s="1"/>
  <c r="AU64" i="9"/>
  <c r="AX64" i="9" s="1"/>
  <c r="AU70" i="9"/>
  <c r="AX70" i="9" s="1"/>
  <c r="AU74" i="9"/>
  <c r="AX74" i="9" s="1"/>
  <c r="G26" i="10"/>
  <c r="D10" i="10"/>
  <c r="G10" i="10"/>
  <c r="E10" i="10"/>
  <c r="E26" i="10"/>
  <c r="E42" i="10"/>
  <c r="G42" i="10"/>
  <c r="D26" i="10"/>
  <c r="D42" i="10"/>
  <c r="AU26" i="9"/>
  <c r="AX26" i="9" s="1"/>
  <c r="AU40" i="9"/>
  <c r="AX40" i="9" s="1"/>
  <c r="AU28" i="9"/>
  <c r="AX28" i="9" s="1"/>
  <c r="G9" i="10"/>
  <c r="G16" i="10"/>
  <c r="D16" i="10"/>
  <c r="E9" i="10"/>
  <c r="D35" i="10"/>
  <c r="D13" i="10"/>
  <c r="E21" i="10"/>
  <c r="E7" i="10"/>
  <c r="E14" i="10"/>
  <c r="E22" i="10"/>
  <c r="G14" i="10"/>
  <c r="G13" i="10"/>
  <c r="G37" i="10"/>
  <c r="G18" i="10"/>
  <c r="G21" i="10"/>
  <c r="E16" i="10"/>
  <c r="D37" i="10"/>
  <c r="D9" i="10"/>
  <c r="E35" i="10"/>
  <c r="E23" i="10"/>
  <c r="D21" i="10"/>
  <c r="D7" i="10"/>
  <c r="D14" i="10"/>
  <c r="D22" i="10"/>
  <c r="G36" i="10"/>
  <c r="G22" i="10"/>
  <c r="G7" i="10"/>
  <c r="G23" i="10"/>
  <c r="G30" i="10"/>
  <c r="G15" i="10"/>
  <c r="E30" i="10"/>
  <c r="D30" i="10"/>
  <c r="D23" i="10"/>
  <c r="D31" i="10"/>
  <c r="E18" i="10"/>
  <c r="D15" i="10"/>
  <c r="E36" i="10"/>
  <c r="G35" i="10"/>
  <c r="G31" i="10"/>
  <c r="G43" i="10"/>
  <c r="E37" i="10"/>
  <c r="E31" i="10"/>
  <c r="E13" i="10"/>
  <c r="D18" i="10"/>
  <c r="E15" i="10"/>
  <c r="D36" i="10"/>
  <c r="D43" i="10"/>
  <c r="AU18" i="9"/>
  <c r="AX18" i="9" s="1"/>
  <c r="AU12" i="9"/>
  <c r="AX12" i="9" s="1"/>
  <c r="AU36" i="9"/>
  <c r="AX36" i="9" s="1"/>
  <c r="AU38" i="9"/>
  <c r="AX38" i="9" s="1"/>
  <c r="AU20" i="9"/>
  <c r="AX20" i="9" s="1"/>
  <c r="AU22" i="9"/>
  <c r="AX22" i="9" s="1"/>
  <c r="AU6" i="9"/>
  <c r="AX6" i="9" s="1"/>
  <c r="AU34" i="9"/>
  <c r="AX34" i="9" s="1"/>
  <c r="AU16" i="9"/>
  <c r="AX16" i="9" s="1"/>
  <c r="AU42" i="9"/>
  <c r="AX42" i="9" s="1"/>
  <c r="AU10" i="9"/>
  <c r="AX10" i="9" s="1"/>
  <c r="AU30" i="9"/>
  <c r="AX30" i="9" s="1"/>
  <c r="AU44" i="9"/>
  <c r="AX44" i="9" s="1"/>
  <c r="AU32" i="9"/>
  <c r="AX32" i="9" s="1"/>
  <c r="AU4" i="9"/>
  <c r="AX4" i="9" s="1"/>
  <c r="AU14" i="9"/>
  <c r="AX14" i="9" s="1"/>
  <c r="E23" i="8"/>
  <c r="C23" i="8"/>
  <c r="D4" i="8"/>
  <c r="D39" i="10" l="1"/>
  <c r="F39" i="10" s="1"/>
  <c r="I39" i="10" s="1"/>
  <c r="E43" i="10"/>
  <c r="F43" i="10" s="1"/>
  <c r="I43" i="10" s="1"/>
  <c r="F38" i="10"/>
  <c r="I38" i="10" s="1"/>
  <c r="F41" i="10"/>
  <c r="I41" i="10" s="1"/>
  <c r="F34" i="10"/>
  <c r="I34" i="10" s="1"/>
  <c r="F20" i="10"/>
  <c r="I20" i="10" s="1"/>
  <c r="AY64" i="9"/>
  <c r="AY74" i="9"/>
  <c r="AY52" i="9"/>
  <c r="F24" i="10"/>
  <c r="I24" i="10" s="1"/>
  <c r="F12" i="10"/>
  <c r="I12" i="10" s="1"/>
  <c r="F33" i="10"/>
  <c r="I33" i="10" s="1"/>
  <c r="F25" i="10"/>
  <c r="I25" i="10" s="1"/>
  <c r="F19" i="10"/>
  <c r="I19" i="10" s="1"/>
  <c r="F32" i="10"/>
  <c r="I32" i="10" s="1"/>
  <c r="AY58" i="9"/>
  <c r="AY76" i="9"/>
  <c r="F26" i="10"/>
  <c r="I26" i="10" s="1"/>
  <c r="AY56" i="9"/>
  <c r="AY80" i="9"/>
  <c r="AY54" i="9"/>
  <c r="AY72" i="9"/>
  <c r="F40" i="10"/>
  <c r="I40" i="10" s="1"/>
  <c r="F28" i="10"/>
  <c r="I28" i="10" s="1"/>
  <c r="F27" i="10"/>
  <c r="I27" i="10" s="1"/>
  <c r="F11" i="10"/>
  <c r="I11" i="10" s="1"/>
  <c r="AY82" i="9"/>
  <c r="AY78" i="9"/>
  <c r="AY70" i="9"/>
  <c r="AY50" i="9"/>
  <c r="AY86" i="9"/>
  <c r="AY60" i="9"/>
  <c r="F6" i="10"/>
  <c r="I6" i="10" s="1"/>
  <c r="AY84" i="9"/>
  <c r="AY66" i="9"/>
  <c r="AY62" i="9"/>
  <c r="F8" i="10"/>
  <c r="I8" i="10" s="1"/>
  <c r="F17" i="10"/>
  <c r="I17" i="10" s="1"/>
  <c r="F29" i="10"/>
  <c r="I29" i="10" s="1"/>
  <c r="F42" i="10"/>
  <c r="I42" i="10" s="1"/>
  <c r="F10" i="10"/>
  <c r="I10" i="10" s="1"/>
  <c r="F13" i="10"/>
  <c r="I13" i="10" s="1"/>
  <c r="F35" i="10"/>
  <c r="I35" i="10" s="1"/>
  <c r="F37" i="10"/>
  <c r="I37" i="10" s="1"/>
  <c r="F18" i="10"/>
  <c r="I18" i="10" s="1"/>
  <c r="F23" i="10"/>
  <c r="I23" i="10" s="1"/>
  <c r="F16" i="10"/>
  <c r="I16" i="10" s="1"/>
  <c r="F15" i="10"/>
  <c r="I15" i="10" s="1"/>
  <c r="AZ86" i="9"/>
  <c r="AZ84" i="9"/>
  <c r="AZ82" i="9"/>
  <c r="AZ80" i="9"/>
  <c r="AZ78" i="9"/>
  <c r="AZ76" i="9"/>
  <c r="AZ74" i="9"/>
  <c r="AZ72" i="9"/>
  <c r="AZ70" i="9"/>
  <c r="AZ66" i="9"/>
  <c r="AZ64" i="9"/>
  <c r="AZ62" i="9"/>
  <c r="AZ60" i="9"/>
  <c r="AZ58" i="9"/>
  <c r="AZ56" i="9"/>
  <c r="AZ54" i="9"/>
  <c r="AZ52" i="9"/>
  <c r="AZ50" i="9"/>
  <c r="AZ28" i="9"/>
  <c r="AZ26" i="9"/>
  <c r="AZ40" i="9"/>
  <c r="AY4" i="9"/>
  <c r="AZ4" i="9"/>
  <c r="AY8" i="9"/>
  <c r="AZ8" i="9"/>
  <c r="AY34" i="9"/>
  <c r="AZ34" i="9"/>
  <c r="AY38" i="9"/>
  <c r="AZ38" i="9"/>
  <c r="AY14" i="9"/>
  <c r="AZ14" i="9"/>
  <c r="AY26" i="9"/>
  <c r="AY40" i="9"/>
  <c r="AY30" i="9"/>
  <c r="AZ30" i="9"/>
  <c r="AY28" i="9"/>
  <c r="AY16" i="9"/>
  <c r="AZ16" i="9"/>
  <c r="AY20" i="9"/>
  <c r="AZ20" i="9"/>
  <c r="AZ18" i="9"/>
  <c r="AY18" i="9"/>
  <c r="F7" i="10"/>
  <c r="I7" i="10" s="1"/>
  <c r="F9" i="10"/>
  <c r="I9" i="10" s="1"/>
  <c r="F36" i="10"/>
  <c r="I36" i="10" s="1"/>
  <c r="F14" i="10"/>
  <c r="I14" i="10" s="1"/>
  <c r="AZ44" i="9"/>
  <c r="AY44" i="9"/>
  <c r="AY42" i="9"/>
  <c r="AZ42" i="9"/>
  <c r="AY22" i="9"/>
  <c r="AZ22" i="9"/>
  <c r="AY12" i="9"/>
  <c r="AZ12" i="9"/>
  <c r="AY32" i="9"/>
  <c r="AZ32" i="9"/>
  <c r="AZ10" i="9"/>
  <c r="AY10" i="9"/>
  <c r="AY6" i="9"/>
  <c r="AZ6" i="9"/>
  <c r="AZ36" i="9"/>
  <c r="AY36" i="9"/>
  <c r="F22" i="10"/>
  <c r="I22" i="10" s="1"/>
  <c r="F31" i="10"/>
  <c r="I31" i="10" s="1"/>
  <c r="F30" i="10"/>
  <c r="I30" i="10" s="1"/>
  <c r="F21" i="10"/>
  <c r="I21" i="10" s="1"/>
  <c r="J38" i="10" l="1"/>
  <c r="J22" i="10"/>
  <c r="J30" i="10"/>
  <c r="J24" i="10"/>
  <c r="J13" i="10"/>
  <c r="J40" i="10"/>
  <c r="J29" i="10"/>
  <c r="J16" i="10"/>
  <c r="J25" i="10"/>
  <c r="J20" i="10"/>
  <c r="J32" i="10"/>
  <c r="J9" i="10"/>
  <c r="J26" i="10"/>
  <c r="J28" i="10"/>
  <c r="J27" i="10"/>
  <c r="J33" i="10"/>
  <c r="J10" i="10"/>
  <c r="J39" i="10"/>
  <c r="J35" i="10"/>
  <c r="J21" i="10"/>
  <c r="J6" i="10"/>
  <c r="J19" i="10"/>
  <c r="J36" i="10"/>
  <c r="J41" i="10"/>
  <c r="J18" i="10"/>
  <c r="J12" i="10"/>
  <c r="J23" i="10"/>
  <c r="J17" i="10"/>
  <c r="J14" i="10"/>
  <c r="J42" i="10"/>
  <c r="J31" i="10"/>
  <c r="J8" i="10"/>
  <c r="J43" i="10"/>
  <c r="J11" i="10"/>
  <c r="J7" i="10"/>
  <c r="J15" i="10"/>
  <c r="J34" i="10"/>
  <c r="J37" i="10"/>
  <c r="L5" i="10" l="1"/>
</calcChain>
</file>

<file path=xl/sharedStrings.xml><?xml version="1.0" encoding="utf-8"?>
<sst xmlns="http://schemas.openxmlformats.org/spreadsheetml/2006/main" count="2196" uniqueCount="590">
  <si>
    <t>会場担当</t>
  </si>
  <si>
    <t>B3-B4</t>
  </si>
  <si>
    <t>7/1/1/7</t>
  </si>
  <si>
    <t>8/2/2/8</t>
  </si>
  <si>
    <t>1/5/5/1</t>
  </si>
  <si>
    <t>2/6/6/2</t>
  </si>
  <si>
    <t>6/10/10/6</t>
  </si>
  <si>
    <t>10/4/4/10</t>
  </si>
  <si>
    <t>会場</t>
  </si>
  <si>
    <t>開催日</t>
  </si>
  <si>
    <t>A1</t>
  </si>
  <si>
    <t>A6</t>
  </si>
  <si>
    <t>B3</t>
  </si>
  <si>
    <t>A2</t>
  </si>
  <si>
    <t>A7</t>
  </si>
  <si>
    <t>A3</t>
  </si>
  <si>
    <t>A8</t>
  </si>
  <si>
    <t>B6</t>
  </si>
  <si>
    <t>A4</t>
  </si>
  <si>
    <t>A9</t>
  </si>
  <si>
    <t>B7</t>
  </si>
  <si>
    <t>A5</t>
  </si>
  <si>
    <t>A10</t>
  </si>
  <si>
    <t>B9</t>
  </si>
  <si>
    <t>B10</t>
  </si>
  <si>
    <t>試合開始</t>
  </si>
  <si>
    <t>監督サイン</t>
  </si>
  <si>
    <t>チーム名</t>
  </si>
  <si>
    <t>得点</t>
  </si>
  <si>
    <t>主審／副審／副審／４審</t>
  </si>
  <si>
    <t>－</t>
  </si>
  <si>
    <t>警告／退場</t>
  </si>
  <si>
    <t>氏名</t>
  </si>
  <si>
    <t>番号</t>
  </si>
  <si>
    <t>理由</t>
  </si>
  <si>
    <t>警告　　退場</t>
  </si>
  <si>
    <t>B5</t>
  </si>
  <si>
    <r>
      <rPr>
        <b/>
        <sz val="12"/>
        <color indexed="8"/>
        <rFont val="AR P丸ゴシック体M"/>
        <family val="3"/>
        <charset val="128"/>
      </rPr>
      <t>警告　　</t>
    </r>
    <r>
      <rPr>
        <b/>
        <strike/>
        <sz val="12"/>
        <color indexed="8"/>
        <rFont val="AR P丸ゴシック体M"/>
        <family val="3"/>
        <charset val="128"/>
      </rPr>
      <t>退場</t>
    </r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</si>
  <si>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</si>
  <si>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</si>
  <si>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</si>
  <si>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</si>
  <si>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</si>
  <si>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</si>
  <si>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</si>
  <si>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</si>
  <si>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</si>
  <si>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</si>
  <si>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</si>
  <si>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</si>
  <si>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</si>
  <si>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</si>
  <si>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</si>
  <si>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</si>
  <si>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</si>
  <si>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</si>
  <si>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勝ち点</t>
  </si>
  <si>
    <t>試合数</t>
  </si>
  <si>
    <t>得失差</t>
  </si>
  <si>
    <r>
      <rPr>
        <b/>
        <sz val="14"/>
        <rFont val="ＭＳ Ｐゴシック"/>
        <family val="3"/>
        <charset val="128"/>
      </rPr>
      <t>Ａ</t>
    </r>
    <r>
      <rPr>
        <sz val="14"/>
        <rFont val="ＭＳ Ｐゴシック"/>
        <family val="3"/>
        <charset val="128"/>
      </rPr>
      <t>ブロック</t>
    </r>
  </si>
  <si>
    <t>勝ち点率</t>
  </si>
  <si>
    <t>ブロック
順位</t>
  </si>
  <si>
    <t>総合
順位</t>
  </si>
  <si>
    <t>A01</t>
  </si>
  <si>
    <t>-</t>
  </si>
  <si>
    <t>A02</t>
  </si>
  <si>
    <t>A03</t>
  </si>
  <si>
    <t>A04</t>
  </si>
  <si>
    <t>A05</t>
  </si>
  <si>
    <t>A06</t>
  </si>
  <si>
    <t>A07</t>
  </si>
  <si>
    <t>A08</t>
  </si>
  <si>
    <t>A09</t>
  </si>
  <si>
    <t>Bブロック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</si>
  <si>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</si>
  <si>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</si>
  <si>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</si>
  <si>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</si>
  <si>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</si>
  <si>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</si>
  <si>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</si>
  <si>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</si>
  <si>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</si>
  <si>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r>
      <rPr>
        <b/>
        <sz val="14"/>
        <rFont val="ＭＳ Ｐゴシック"/>
        <family val="3"/>
        <charset val="128"/>
      </rPr>
      <t>Ｃ</t>
    </r>
    <r>
      <rPr>
        <sz val="14"/>
        <rFont val="ＭＳ Ｐゴシック"/>
        <family val="3"/>
        <charset val="128"/>
      </rPr>
      <t>ブロック</t>
    </r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</si>
  <si>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</si>
  <si>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</si>
  <si>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</si>
  <si>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</si>
  <si>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</si>
  <si>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</si>
  <si>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</si>
  <si>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</si>
  <si>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</si>
  <si>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Ｄブロック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</si>
  <si>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</si>
  <si>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</si>
  <si>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</si>
  <si>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</si>
  <si>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</si>
  <si>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</si>
  <si>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</si>
  <si>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</si>
  <si>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</si>
  <si>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得失差、得点を考慮する場合の順位算出式</t>
  </si>
  <si>
    <t>=F6+G6*0.0001+H6*0.000001</t>
  </si>
  <si>
    <t>順位 ＝（ 勝ち点率 ＋ 得失差×0.0001 ＋ 得点×0.000001　）　の降順　　　※勝ち点率＝勝ち点÷（試合数×３）</t>
  </si>
  <si>
    <t>順位 ＝ 勝ち点率の降順　　　※勝ち点率＝勝ち点÷（試合数×３）</t>
  </si>
  <si>
    <t>チーム</t>
  </si>
  <si>
    <t>順位</t>
  </si>
  <si>
    <t>Ａ ブロック</t>
    <phoneticPr fontId="57"/>
  </si>
  <si>
    <t>Ｂ ブロック</t>
    <phoneticPr fontId="57"/>
  </si>
  <si>
    <t>Ｃ ブロック</t>
    <phoneticPr fontId="57"/>
  </si>
  <si>
    <t>Ｄ ブロック</t>
    <phoneticPr fontId="57"/>
  </si>
  <si>
    <t>備　考</t>
    <rPh sb="0" eb="1">
      <t>ビ</t>
    </rPh>
    <rPh sb="2" eb="3">
      <t>コウ</t>
    </rPh>
    <phoneticPr fontId="57"/>
  </si>
  <si>
    <t>（10チーム）</t>
    <phoneticPr fontId="57"/>
  </si>
  <si>
    <t>（９チーム）</t>
    <phoneticPr fontId="57"/>
  </si>
  <si>
    <t>地区別チーム数</t>
    <rPh sb="0" eb="2">
      <t>チク</t>
    </rPh>
    <rPh sb="2" eb="3">
      <t>ベツ</t>
    </rPh>
    <rPh sb="6" eb="7">
      <t>スウ</t>
    </rPh>
    <phoneticPr fontId="53"/>
  </si>
  <si>
    <t>東部</t>
    <rPh sb="0" eb="2">
      <t>トウブ</t>
    </rPh>
    <phoneticPr fontId="53"/>
  </si>
  <si>
    <t>２</t>
    <phoneticPr fontId="53"/>
  </si>
  <si>
    <t>１</t>
    <phoneticPr fontId="53"/>
  </si>
  <si>
    <t>西部</t>
    <rPh sb="0" eb="2">
      <t>セイブ</t>
    </rPh>
    <phoneticPr fontId="53"/>
  </si>
  <si>
    <t>南部</t>
    <rPh sb="0" eb="2">
      <t>ナンブ</t>
    </rPh>
    <phoneticPr fontId="53"/>
  </si>
  <si>
    <t>北部</t>
    <rPh sb="0" eb="2">
      <t>ホクブ</t>
    </rPh>
    <phoneticPr fontId="53"/>
  </si>
  <si>
    <t>中部</t>
    <rPh sb="0" eb="2">
      <t>チュウブ</t>
    </rPh>
    <phoneticPr fontId="53"/>
  </si>
  <si>
    <t>３</t>
    <phoneticPr fontId="53"/>
  </si>
  <si>
    <t>３</t>
    <phoneticPr fontId="57"/>
  </si>
  <si>
    <t>上三川</t>
    <rPh sb="0" eb="3">
      <t>カミノカワ</t>
    </rPh>
    <phoneticPr fontId="53"/>
  </si>
  <si>
    <t>ﾌﾞﾛｯｸ責任
チーム</t>
    <phoneticPr fontId="53"/>
  </si>
  <si>
    <t>(東)清原ＳＳＳ／(西)ＳＵＧＡＯ ＳＣ／(中)岡西ＦＣ／(上)本郷北ＦＣ</t>
    <rPh sb="22" eb="23">
      <t>チュウ</t>
    </rPh>
    <rPh sb="30" eb="31">
      <t>ウエ</t>
    </rPh>
    <phoneticPr fontId="53"/>
  </si>
  <si>
    <t>同ブロックに入らない</t>
    <rPh sb="0" eb="1">
      <t>ドウ</t>
    </rPh>
    <rPh sb="6" eb="7">
      <t>ハイ</t>
    </rPh>
    <phoneticPr fontId="53"/>
  </si>
  <si>
    <t>会場チーム</t>
    <phoneticPr fontId="53"/>
  </si>
  <si>
    <t>(中)ＦＣグランディール宇都宮／(中)豊郷ＪＦＣ宇都宮／(中)泉ＦＣ宇都宮／(中)ＦＣブロケードU11</t>
    <rPh sb="1" eb="2">
      <t>チュウ</t>
    </rPh>
    <rPh sb="17" eb="18">
      <t>チュウ</t>
    </rPh>
    <rPh sb="19" eb="21">
      <t>トヨサト</t>
    </rPh>
    <rPh sb="24" eb="27">
      <t>ウツノミヤ</t>
    </rPh>
    <rPh sb="29" eb="30">
      <t>チュウ</t>
    </rPh>
    <rPh sb="31" eb="32">
      <t>イズミ</t>
    </rPh>
    <rPh sb="34" eb="37">
      <t>ウツノミヤ</t>
    </rPh>
    <rPh sb="39" eb="40">
      <t>チュウ</t>
    </rPh>
    <phoneticPr fontId="53"/>
  </si>
  <si>
    <t>複数ｴﾝﾄﾘｰ
団体</t>
    <rPh sb="8" eb="10">
      <t>ダンタイ</t>
    </rPh>
    <phoneticPr fontId="53"/>
  </si>
  <si>
    <t>(西)ﾌﾞﾗｯﾄﾞﾚｽSS  K　(西)ﾌﾞﾗｯﾄﾞﾚｽSS M／(南)雀宮FC　(南)雀宮FCｾｶﾝﾄﾞ／
(中)FCﾌﾞﾛｹｰﾄﾞ　(中)FCﾌﾞﾛｹｰﾄﾞU11</t>
    <rPh sb="1" eb="2">
      <t>ニシ</t>
    </rPh>
    <rPh sb="18" eb="19">
      <t>ニシ</t>
    </rPh>
    <rPh sb="34" eb="35">
      <t>ミナミ</t>
    </rPh>
    <rPh sb="36" eb="38">
      <t>スズメノミヤ</t>
    </rPh>
    <rPh sb="56" eb="57">
      <t>チュウ</t>
    </rPh>
    <phoneticPr fontId="53"/>
  </si>
  <si>
    <t>同団体は、
同ブロックに入らない</t>
    <rPh sb="0" eb="1">
      <t>ドウ</t>
    </rPh>
    <rPh sb="1" eb="3">
      <t>ダンタイ</t>
    </rPh>
    <rPh sb="6" eb="7">
      <t>ドウ</t>
    </rPh>
    <rPh sb="12" eb="13">
      <t>ハイ</t>
    </rPh>
    <phoneticPr fontId="53"/>
  </si>
  <si>
    <t>2</t>
    <phoneticPr fontId="53"/>
  </si>
  <si>
    <t>ジュベニール</t>
    <phoneticPr fontId="53"/>
  </si>
  <si>
    <t>3</t>
    <phoneticPr fontId="53"/>
  </si>
  <si>
    <t>ウエストフットコム</t>
    <phoneticPr fontId="53"/>
  </si>
  <si>
    <t>ＦＣみらいＶ</t>
    <phoneticPr fontId="53"/>
  </si>
  <si>
    <t>4</t>
    <phoneticPr fontId="53"/>
  </si>
  <si>
    <t>ＦＣ Ｒｉｓｏ</t>
    <phoneticPr fontId="53"/>
  </si>
  <si>
    <t>5</t>
    <phoneticPr fontId="53"/>
  </si>
  <si>
    <t>本郷北ＦＣ</t>
    <rPh sb="0" eb="2">
      <t>ホンゴウ</t>
    </rPh>
    <rPh sb="2" eb="3">
      <t>キタ</t>
    </rPh>
    <phoneticPr fontId="53"/>
  </si>
  <si>
    <t>6</t>
    <phoneticPr fontId="53"/>
  </si>
  <si>
    <t>7</t>
    <phoneticPr fontId="53"/>
  </si>
  <si>
    <t>8</t>
    <phoneticPr fontId="53"/>
  </si>
  <si>
    <t>ＦＣブロケード</t>
    <phoneticPr fontId="53"/>
  </si>
  <si>
    <t>9</t>
    <phoneticPr fontId="53"/>
  </si>
  <si>
    <t>ＦＣアリーバ</t>
    <phoneticPr fontId="53"/>
  </si>
  <si>
    <t>10</t>
    <phoneticPr fontId="53"/>
  </si>
  <si>
    <t>ＦＣグラシアス</t>
    <phoneticPr fontId="53"/>
  </si>
  <si>
    <t>１節</t>
    <phoneticPr fontId="53"/>
  </si>
  <si>
    <t>日</t>
    <rPh sb="0" eb="1">
      <t>ニチ</t>
    </rPh>
    <phoneticPr fontId="57"/>
  </si>
  <si>
    <t>２節</t>
    <phoneticPr fontId="53"/>
  </si>
  <si>
    <t>土</t>
    <rPh sb="0" eb="1">
      <t>ド</t>
    </rPh>
    <phoneticPr fontId="57"/>
  </si>
  <si>
    <t>３節</t>
    <phoneticPr fontId="53"/>
  </si>
  <si>
    <t>４節</t>
    <phoneticPr fontId="53"/>
  </si>
  <si>
    <t>５節</t>
    <phoneticPr fontId="53"/>
  </si>
  <si>
    <t>土</t>
    <phoneticPr fontId="57"/>
  </si>
  <si>
    <t>予備日（石井４５６、白沢ＡＢ、豊郷中央小）</t>
    <rPh sb="0" eb="3">
      <t>ヨビビ</t>
    </rPh>
    <rPh sb="4" eb="6">
      <t>イシイ</t>
    </rPh>
    <rPh sb="10" eb="12">
      <t>シラサワ</t>
    </rPh>
    <rPh sb="15" eb="17">
      <t>トヨサト</t>
    </rPh>
    <rPh sb="17" eb="19">
      <t>チュウオウ</t>
    </rPh>
    <rPh sb="19" eb="20">
      <t>ショウ</t>
    </rPh>
    <phoneticPr fontId="53"/>
  </si>
  <si>
    <t>Ａ　ブロック
運営責任者</t>
    <phoneticPr fontId="57"/>
  </si>
  <si>
    <t>大西　健二
（東部地区副代表）
清原ＳＳＳ</t>
    <rPh sb="0" eb="2">
      <t>オオニシ</t>
    </rPh>
    <rPh sb="3" eb="5">
      <t>ケンジ</t>
    </rPh>
    <rPh sb="11" eb="12">
      <t>フク</t>
    </rPh>
    <phoneticPr fontId="57"/>
  </si>
  <si>
    <t xml:space="preserve"> 〒321-322
 宇都宮市宮市清原台5-20-28
　starboad@fantasy.plala.or.jp</t>
    <rPh sb="11" eb="15">
      <t>ウツノミヤシ</t>
    </rPh>
    <rPh sb="15" eb="16">
      <t>ミヤ</t>
    </rPh>
    <rPh sb="16" eb="17">
      <t>シ</t>
    </rPh>
    <rPh sb="17" eb="19">
      <t>キヨハラ</t>
    </rPh>
    <rPh sb="19" eb="20">
      <t>ダイ</t>
    </rPh>
    <phoneticPr fontId="57"/>
  </si>
  <si>
    <t>連絡先</t>
    <phoneticPr fontId="57"/>
  </si>
  <si>
    <t>０８０-３４５６-３４１８</t>
    <phoneticPr fontId="53"/>
  </si>
  <si>
    <t>Ｂ　ブロック
運営責任者</t>
    <phoneticPr fontId="57"/>
  </si>
  <si>
    <t>千葉　悦弘
（西部地区代表）
ＳＵＧＡＯ ＳＣ</t>
    <rPh sb="0" eb="2">
      <t>チバ</t>
    </rPh>
    <phoneticPr fontId="57"/>
  </si>
  <si>
    <t xml:space="preserve"> 〒321-0151
 宇都宮市西川田町880-87
　etsuhiro.1008@gmail.com</t>
    <phoneticPr fontId="57"/>
  </si>
  <si>
    <t>０９０-４２４０-２８１３</t>
    <phoneticPr fontId="53"/>
  </si>
  <si>
    <t>Ｃ　ブロック
運営責任者</t>
    <phoneticPr fontId="57"/>
  </si>
  <si>
    <t>鈴木　義則
（上三川地区代表）
本郷北ＦＣ</t>
    <rPh sb="0" eb="2">
      <t>スズキ</t>
    </rPh>
    <rPh sb="7" eb="10">
      <t>カミノカワ</t>
    </rPh>
    <rPh sb="10" eb="12">
      <t>チク</t>
    </rPh>
    <phoneticPr fontId="57"/>
  </si>
  <si>
    <t xml:space="preserve"> 〒329-0607
 河内郡上三川町西汗1746-67
　spw66ny9@arrow.ocn.ne.jp</t>
    <phoneticPr fontId="57"/>
  </si>
  <si>
    <t>０９０-２４７９-３７５９</t>
    <phoneticPr fontId="57"/>
  </si>
  <si>
    <t>Ｄ　ブロック
運営責任者</t>
    <phoneticPr fontId="57"/>
  </si>
  <si>
    <t>長谷川　洋
（中部地区代表）
岡西ＦＣ</t>
    <rPh sb="0" eb="3">
      <t>ハセガワ</t>
    </rPh>
    <rPh sb="4" eb="5">
      <t>ヨウ</t>
    </rPh>
    <rPh sb="7" eb="8">
      <t>チュウ</t>
    </rPh>
    <phoneticPr fontId="57"/>
  </si>
  <si>
    <t xml:space="preserve"> 〒329-1105
 宇都宮市中岡本町3713-239
　ham-hase@pa2.so-net.ne.jp</t>
    <phoneticPr fontId="57"/>
  </si>
  <si>
    <t>０９０-８８４６-９３１２</t>
    <phoneticPr fontId="57"/>
  </si>
  <si>
    <t>ブロック</t>
    <phoneticPr fontId="53"/>
  </si>
  <si>
    <t>Ａ</t>
    <phoneticPr fontId="57"/>
  </si>
  <si>
    <t>会　場</t>
    <rPh sb="0" eb="1">
      <t>カイ</t>
    </rPh>
    <rPh sb="2" eb="3">
      <t>バ</t>
    </rPh>
    <phoneticPr fontId="53"/>
  </si>
  <si>
    <t>石井５</t>
    <rPh sb="0" eb="2">
      <t>イシイ</t>
    </rPh>
    <phoneticPr fontId="57"/>
  </si>
  <si>
    <t>会場担当</t>
    <rPh sb="0" eb="2">
      <t>カイジョウ</t>
    </rPh>
    <rPh sb="2" eb="4">
      <t>タントウ</t>
    </rPh>
    <phoneticPr fontId="53"/>
  </si>
  <si>
    <t>① 9:00</t>
    <phoneticPr fontId="58"/>
  </si>
  <si>
    <t>1-2</t>
    <phoneticPr fontId="53"/>
  </si>
  <si>
    <t>5/6/6/5</t>
    <phoneticPr fontId="53"/>
  </si>
  <si>
    <t>A3-A4</t>
    <phoneticPr fontId="53"/>
  </si>
  <si>
    <t>② 9:50</t>
    <phoneticPr fontId="58"/>
  </si>
  <si>
    <t>5-6</t>
    <phoneticPr fontId="53"/>
  </si>
  <si>
    <t>1/2/2/1</t>
    <phoneticPr fontId="53"/>
  </si>
  <si>
    <t>③10:40</t>
    <phoneticPr fontId="58"/>
  </si>
  <si>
    <t>7-8</t>
    <phoneticPr fontId="53"/>
  </si>
  <si>
    <t>2/3/3/2</t>
    <phoneticPr fontId="53"/>
  </si>
  <si>
    <t>A9-A10</t>
    <phoneticPr fontId="53"/>
  </si>
  <si>
    <t>④11:30</t>
    <phoneticPr fontId="58"/>
  </si>
  <si>
    <t>2-3</t>
    <phoneticPr fontId="53"/>
  </si>
  <si>
    <t>7/8/8/7</t>
    <phoneticPr fontId="53"/>
  </si>
  <si>
    <t>A9/A10/A10/A9</t>
    <phoneticPr fontId="53"/>
  </si>
  <si>
    <t>⑤12:20</t>
    <phoneticPr fontId="58"/>
  </si>
  <si>
    <t>10-1</t>
    <phoneticPr fontId="53"/>
  </si>
  <si>
    <t>4/5/5/4</t>
    <phoneticPr fontId="53"/>
  </si>
  <si>
    <t>A6-A7</t>
    <phoneticPr fontId="53"/>
  </si>
  <si>
    <t>4-5</t>
    <phoneticPr fontId="53"/>
  </si>
  <si>
    <t>8/9/9/8</t>
    <phoneticPr fontId="53"/>
  </si>
  <si>
    <t>A6/A7/A7/A6</t>
    <phoneticPr fontId="53"/>
  </si>
  <si>
    <t>8-9</t>
    <phoneticPr fontId="53"/>
  </si>
  <si>
    <t>10/1/1/10</t>
    <phoneticPr fontId="53"/>
  </si>
  <si>
    <t>石井６</t>
    <rPh sb="0" eb="2">
      <t>イシイ</t>
    </rPh>
    <phoneticPr fontId="57"/>
  </si>
  <si>
    <t>6-4</t>
    <phoneticPr fontId="53"/>
  </si>
  <si>
    <t>2-4</t>
    <phoneticPr fontId="53"/>
  </si>
  <si>
    <t>8/10/10/8</t>
    <phoneticPr fontId="53"/>
  </si>
  <si>
    <t>A5-A7</t>
    <phoneticPr fontId="53"/>
  </si>
  <si>
    <t>B5/B7/B7/B5</t>
    <phoneticPr fontId="53"/>
  </si>
  <si>
    <t>8-10</t>
    <phoneticPr fontId="53"/>
  </si>
  <si>
    <t>2/4/4/2</t>
    <phoneticPr fontId="53"/>
  </si>
  <si>
    <t>A5/A7/A7/A5</t>
    <phoneticPr fontId="53"/>
  </si>
  <si>
    <t>1-3</t>
    <phoneticPr fontId="53"/>
  </si>
  <si>
    <t>7/9/9/7</t>
    <phoneticPr fontId="53"/>
  </si>
  <si>
    <t>A4-A6</t>
    <phoneticPr fontId="53"/>
  </si>
  <si>
    <t>7-9</t>
    <phoneticPr fontId="53"/>
  </si>
  <si>
    <t>1/3/3/1</t>
    <phoneticPr fontId="53"/>
  </si>
  <si>
    <t>A4/A6/A6/A4</t>
    <phoneticPr fontId="53"/>
  </si>
  <si>
    <t>10-2</t>
    <phoneticPr fontId="53"/>
  </si>
  <si>
    <t>6/8/8/6</t>
    <phoneticPr fontId="53"/>
  </si>
  <si>
    <t>A3-A5</t>
    <phoneticPr fontId="53"/>
  </si>
  <si>
    <t>B3/B5/B5/B3</t>
    <phoneticPr fontId="53"/>
  </si>
  <si>
    <t>6-8</t>
    <phoneticPr fontId="53"/>
  </si>
  <si>
    <t>9/1/1/9</t>
    <phoneticPr fontId="53"/>
  </si>
  <si>
    <t>A3/A5/A5/A3</t>
    <phoneticPr fontId="53"/>
  </si>
  <si>
    <t>9-1</t>
    <phoneticPr fontId="53"/>
  </si>
  <si>
    <t>10/2/2/10</t>
    <phoneticPr fontId="53"/>
  </si>
  <si>
    <t xml:space="preserve"> </t>
    <phoneticPr fontId="53"/>
  </si>
  <si>
    <t>8-2</t>
    <phoneticPr fontId="53"/>
  </si>
  <si>
    <t>7/1/1/7</t>
    <phoneticPr fontId="53"/>
  </si>
  <si>
    <t>7-1</t>
    <phoneticPr fontId="53"/>
  </si>
  <si>
    <t>5-8</t>
    <phoneticPr fontId="53"/>
  </si>
  <si>
    <t>4/7/7/4</t>
    <phoneticPr fontId="53"/>
  </si>
  <si>
    <t>4-7</t>
    <phoneticPr fontId="53"/>
  </si>
  <si>
    <t>2-5</t>
    <phoneticPr fontId="53"/>
  </si>
  <si>
    <t>1/4/4/1</t>
    <phoneticPr fontId="53"/>
  </si>
  <si>
    <t>1-4</t>
    <phoneticPr fontId="53"/>
  </si>
  <si>
    <t>2-6</t>
    <phoneticPr fontId="53"/>
  </si>
  <si>
    <t>1-5</t>
    <phoneticPr fontId="53"/>
  </si>
  <si>
    <t>A3-A7</t>
    <phoneticPr fontId="53"/>
  </si>
  <si>
    <t>4-8</t>
    <phoneticPr fontId="53"/>
  </si>
  <si>
    <t>A3/A7/A7/A3</t>
    <phoneticPr fontId="53"/>
  </si>
  <si>
    <t>6-10</t>
    <phoneticPr fontId="53"/>
  </si>
  <si>
    <t>A5-A9</t>
    <phoneticPr fontId="53"/>
  </si>
  <si>
    <t>A5/A9/A9/A5</t>
    <phoneticPr fontId="53"/>
  </si>
  <si>
    <t>A9-A3</t>
    <phoneticPr fontId="53"/>
  </si>
  <si>
    <t>10-4</t>
    <phoneticPr fontId="53"/>
  </si>
  <si>
    <t>A9/A3/A3/A9</t>
    <phoneticPr fontId="53"/>
  </si>
  <si>
    <t>8/2/2/8</t>
    <phoneticPr fontId="53"/>
  </si>
  <si>
    <t>泉ＦＣ宇都宮</t>
    <phoneticPr fontId="53"/>
  </si>
  <si>
    <t>1-6</t>
    <phoneticPr fontId="53"/>
  </si>
  <si>
    <t>8-1</t>
    <phoneticPr fontId="53"/>
  </si>
  <si>
    <t>B</t>
    <phoneticPr fontId="57"/>
  </si>
  <si>
    <t>2-7</t>
    <phoneticPr fontId="53"/>
  </si>
  <si>
    <t>3/8/8/3</t>
    <phoneticPr fontId="53"/>
  </si>
  <si>
    <t>3-8</t>
    <phoneticPr fontId="53"/>
  </si>
  <si>
    <t>4/9/9/4</t>
    <phoneticPr fontId="53"/>
  </si>
  <si>
    <t>4-9</t>
    <phoneticPr fontId="53"/>
  </si>
  <si>
    <t>5/10/10/5</t>
    <phoneticPr fontId="53"/>
  </si>
  <si>
    <t>5-10</t>
    <phoneticPr fontId="53"/>
  </si>
  <si>
    <t>1/6/6/1</t>
    <phoneticPr fontId="53"/>
  </si>
  <si>
    <t>2/7/7/2</t>
    <phoneticPr fontId="53"/>
  </si>
  <si>
    <t>白沢Ａ(北)</t>
    <rPh sb="0" eb="2">
      <t>シラサワ</t>
    </rPh>
    <rPh sb="4" eb="5">
      <t>キタ</t>
    </rPh>
    <phoneticPr fontId="57"/>
  </si>
  <si>
    <t>白沢B(南)</t>
    <rPh sb="0" eb="2">
      <t>シラサワ</t>
    </rPh>
    <rPh sb="4" eb="5">
      <t>ミナミ</t>
    </rPh>
    <phoneticPr fontId="57"/>
  </si>
  <si>
    <t>3/6/6/3</t>
    <phoneticPr fontId="53"/>
  </si>
  <si>
    <t>7-10</t>
    <phoneticPr fontId="53"/>
  </si>
  <si>
    <t>8/1/1/8</t>
    <phoneticPr fontId="53"/>
  </si>
  <si>
    <t>3-6</t>
    <phoneticPr fontId="53"/>
  </si>
  <si>
    <t>9/2/2/9</t>
    <phoneticPr fontId="53"/>
  </si>
  <si>
    <t>5/8/8/5</t>
    <phoneticPr fontId="53"/>
  </si>
  <si>
    <t>9-2</t>
    <phoneticPr fontId="53"/>
  </si>
  <si>
    <t>10/3/3/10</t>
    <phoneticPr fontId="53"/>
  </si>
  <si>
    <t>6/9/9/6</t>
    <phoneticPr fontId="53"/>
  </si>
  <si>
    <t>10-3</t>
    <phoneticPr fontId="53"/>
  </si>
  <si>
    <t>6-9</t>
    <phoneticPr fontId="53"/>
  </si>
  <si>
    <t>2/5/5/2</t>
    <phoneticPr fontId="53"/>
  </si>
  <si>
    <t>7/10/10/7</t>
    <phoneticPr fontId="53"/>
  </si>
  <si>
    <t>ＪＦＡ　U-12サッカーリーグ2019（in栃木） 宇河地域リーグ戦（後期）</t>
    <phoneticPr fontId="53"/>
  </si>
  <si>
    <t>－</t>
    <phoneticPr fontId="53"/>
  </si>
  <si>
    <t>ＳＵＧＡＯ ＳＣ</t>
    <phoneticPr fontId="53"/>
  </si>
  <si>
    <t>7/2/2/7</t>
    <phoneticPr fontId="53"/>
  </si>
  <si>
    <t>シャルムグランツＳＣ</t>
    <phoneticPr fontId="53"/>
  </si>
  <si>
    <t>C3/C5/C5/C3</t>
    <phoneticPr fontId="53"/>
  </si>
  <si>
    <t>C7/C3/C3/C7</t>
    <phoneticPr fontId="53"/>
  </si>
  <si>
    <t>C5/C7/C7/C5</t>
    <phoneticPr fontId="53"/>
  </si>
  <si>
    <t>C3</t>
    <phoneticPr fontId="53"/>
  </si>
  <si>
    <t>C5</t>
    <phoneticPr fontId="53"/>
  </si>
  <si>
    <t>C7</t>
    <phoneticPr fontId="53"/>
  </si>
  <si>
    <t>Ｓ４スペランツァ</t>
    <phoneticPr fontId="53"/>
  </si>
  <si>
    <t>順位表　（７/６  最終節終了時）</t>
    <rPh sb="10" eb="12">
      <t>サイシュウ</t>
    </rPh>
    <phoneticPr fontId="53"/>
  </si>
  <si>
    <t>岡西ＦＣ</t>
    <phoneticPr fontId="53"/>
  </si>
  <si>
    <t>清原ＳＳＳ</t>
    <phoneticPr fontId="53"/>
  </si>
  <si>
    <t>国本ＪＳＣ</t>
    <phoneticPr fontId="53"/>
  </si>
  <si>
    <t>ＦＣグランディール</t>
    <phoneticPr fontId="53"/>
  </si>
  <si>
    <t>みはらＳＣjr</t>
    <phoneticPr fontId="53"/>
  </si>
  <si>
    <t>カテット白沢U11</t>
    <phoneticPr fontId="53"/>
  </si>
  <si>
    <t>昭和・戸祭ＳＣ-O</t>
    <phoneticPr fontId="53"/>
  </si>
  <si>
    <t>緑が丘ＹＦＣ</t>
    <phoneticPr fontId="53"/>
  </si>
  <si>
    <t>カテット白沢ＳＳ</t>
    <phoneticPr fontId="53"/>
  </si>
  <si>
    <t>ｕｎｉｏｎｓｃU12</t>
    <phoneticPr fontId="53"/>
  </si>
  <si>
    <t>ともぞうＳＣ U12</t>
    <phoneticPr fontId="53"/>
  </si>
  <si>
    <t>雀宮ＦＣ</t>
    <phoneticPr fontId="53"/>
  </si>
  <si>
    <t>宝木キッカーズ</t>
    <phoneticPr fontId="53"/>
  </si>
  <si>
    <t>雀宮ＦＣセカンド</t>
    <phoneticPr fontId="53"/>
  </si>
  <si>
    <t>ＦＣアネーロ･U-12</t>
    <phoneticPr fontId="53"/>
  </si>
  <si>
    <t>富士見ＳＳＳ</t>
    <phoneticPr fontId="53"/>
  </si>
  <si>
    <t>サウス宇都宮ＳＣ</t>
    <phoneticPr fontId="53"/>
  </si>
  <si>
    <t>ともぞうＳＣ</t>
    <phoneticPr fontId="53"/>
  </si>
  <si>
    <t>細谷サッカークラブ</t>
    <phoneticPr fontId="53"/>
  </si>
  <si>
    <t>ブラッドレスＳＳ</t>
    <phoneticPr fontId="53"/>
  </si>
  <si>
    <t>FCブロケード・陽東U11</t>
    <phoneticPr fontId="53"/>
  </si>
  <si>
    <t>上河内ＪＳＣ</t>
    <phoneticPr fontId="53"/>
  </si>
  <si>
    <t>上三川ＳＣ</t>
    <phoneticPr fontId="53"/>
  </si>
  <si>
    <t>上三川ＦＣ</t>
    <phoneticPr fontId="53"/>
  </si>
  <si>
    <t>昭和・戸祭ＳＣ-S</t>
    <phoneticPr fontId="53"/>
  </si>
  <si>
    <t>白沢Ａ（Ａ６）</t>
    <rPh sb="0" eb="2">
      <t>シラサワ</t>
    </rPh>
    <phoneticPr fontId="57"/>
  </si>
  <si>
    <t>平出Ａ（Ｂ６）</t>
    <rPh sb="0" eb="2">
      <t>ヒライデ</t>
    </rPh>
    <phoneticPr fontId="53"/>
  </si>
  <si>
    <t>平出Ｂ（Ｃ６）</t>
    <rPh sb="0" eb="2">
      <t>ヒライデ</t>
    </rPh>
    <phoneticPr fontId="53"/>
  </si>
  <si>
    <t>石井１（Ｄ６）</t>
    <rPh sb="0" eb="2">
      <t>イシイ</t>
    </rPh>
    <phoneticPr fontId="53"/>
  </si>
  <si>
    <t>第２節は、姿川第一小を提供していただきました。どうもありがとうございます。
会場担当は、ウエストフットコムに担当していただきます。よろしくお願いします。
Ｂブロックの組み合わせ・対戦表が変更になります。</t>
    <rPh sb="0" eb="1">
      <t>ダイ</t>
    </rPh>
    <rPh sb="2" eb="3">
      <t>セツ</t>
    </rPh>
    <rPh sb="5" eb="7">
      <t>スガタガワ</t>
    </rPh>
    <rPh sb="7" eb="9">
      <t>ダイイチ</t>
    </rPh>
    <rPh sb="9" eb="10">
      <t>ショウ</t>
    </rPh>
    <rPh sb="11" eb="13">
      <t>テイキョウ</t>
    </rPh>
    <rPh sb="38" eb="40">
      <t>カイジョウ</t>
    </rPh>
    <rPh sb="40" eb="42">
      <t>タントウ</t>
    </rPh>
    <rPh sb="54" eb="56">
      <t>タントウ</t>
    </rPh>
    <rPh sb="70" eb="71">
      <t>ネガ</t>
    </rPh>
    <rPh sb="83" eb="84">
      <t>ク</t>
    </rPh>
    <rPh sb="85" eb="86">
      <t>ア</t>
    </rPh>
    <rPh sb="89" eb="91">
      <t>タイセン</t>
    </rPh>
    <rPh sb="91" eb="92">
      <t>ヒョウ</t>
    </rPh>
    <rPh sb="93" eb="95">
      <t>ヘンコウ</t>
    </rPh>
    <phoneticPr fontId="53"/>
  </si>
  <si>
    <t>A</t>
    <phoneticPr fontId="53"/>
  </si>
  <si>
    <t>B(123)＋B(456)</t>
    <phoneticPr fontId="53"/>
  </si>
  <si>
    <t>C(123)＋C(456)</t>
    <phoneticPr fontId="53"/>
  </si>
  <si>
    <t>D(123)＋D(456)</t>
    <phoneticPr fontId="53"/>
  </si>
  <si>
    <t>白沢Ｂ（Ｂ７）</t>
    <rPh sb="0" eb="2">
      <t>シラサワ</t>
    </rPh>
    <phoneticPr fontId="57"/>
  </si>
  <si>
    <t>石井２（Ｄ７）</t>
    <phoneticPr fontId="53"/>
  </si>
  <si>
    <t>A＋B(789)</t>
    <phoneticPr fontId="53"/>
  </si>
  <si>
    <t>C(789)＋D(789)</t>
    <phoneticPr fontId="53"/>
  </si>
  <si>
    <t>白沢Ａ（Ａ７）</t>
    <rPh sb="0" eb="2">
      <t>シラサワ</t>
    </rPh>
    <phoneticPr fontId="57"/>
  </si>
  <si>
    <t>姿川第一小（B5）</t>
    <rPh sb="0" eb="2">
      <t>スガタガワ</t>
    </rPh>
    <rPh sb="2" eb="4">
      <t>ダイイチ</t>
    </rPh>
    <rPh sb="4" eb="5">
      <t>ショウ</t>
    </rPh>
    <phoneticPr fontId="53"/>
  </si>
  <si>
    <r>
      <rPr>
        <sz val="12"/>
        <color rgb="FFFF0000"/>
        <rFont val="AR P丸ゴシック体M"/>
        <family val="3"/>
        <charset val="128"/>
      </rPr>
      <t>石井２</t>
    </r>
    <r>
      <rPr>
        <sz val="12"/>
        <rFont val="AR P丸ゴシック体M"/>
        <family val="3"/>
        <charset val="128"/>
      </rPr>
      <t>（Ｃ４）</t>
    </r>
    <rPh sb="0" eb="2">
      <t>イシイ</t>
    </rPh>
    <phoneticPr fontId="53"/>
  </si>
  <si>
    <r>
      <rPr>
        <sz val="12"/>
        <color rgb="FFFF0000"/>
        <rFont val="AR P丸ゴシック体M"/>
        <family val="3"/>
        <charset val="128"/>
      </rPr>
      <t>石井１</t>
    </r>
    <r>
      <rPr>
        <sz val="12"/>
        <rFont val="AR P丸ゴシック体M"/>
        <family val="3"/>
        <charset val="128"/>
      </rPr>
      <t>（Ｄ３）</t>
    </r>
    <rPh sb="0" eb="2">
      <t>イシイ</t>
    </rPh>
    <phoneticPr fontId="53"/>
  </si>
  <si>
    <r>
      <t>B(147)＋</t>
    </r>
    <r>
      <rPr>
        <sz val="12"/>
        <color rgb="FFFF0000"/>
        <rFont val="AR P丸ゴシック体M"/>
        <family val="3"/>
        <charset val="128"/>
      </rPr>
      <t>B(258)</t>
    </r>
    <phoneticPr fontId="53"/>
  </si>
  <si>
    <t>C(147)＋C(369)</t>
    <phoneticPr fontId="53"/>
  </si>
  <si>
    <t>D(147)＋D(369)</t>
    <phoneticPr fontId="53"/>
  </si>
  <si>
    <t>白沢Ｂ（Ａ５）</t>
    <rPh sb="0" eb="2">
      <t>シラサワ</t>
    </rPh>
    <phoneticPr fontId="57"/>
  </si>
  <si>
    <t>豊郷南小（Ｃ２）</t>
    <rPh sb="0" eb="2">
      <t>トヨサト</t>
    </rPh>
    <rPh sb="2" eb="3">
      <t>ミナミ</t>
    </rPh>
    <rPh sb="3" eb="4">
      <t>ショウ</t>
    </rPh>
    <phoneticPr fontId="53"/>
  </si>
  <si>
    <r>
      <t>A＋</t>
    </r>
    <r>
      <rPr>
        <sz val="12"/>
        <color rgb="FFFF0000"/>
        <rFont val="AR P丸ゴシック体M"/>
        <family val="3"/>
        <charset val="128"/>
      </rPr>
      <t>B(369)</t>
    </r>
    <phoneticPr fontId="53"/>
  </si>
  <si>
    <t>C(258)＋D(258)</t>
    <phoneticPr fontId="53"/>
  </si>
  <si>
    <t>石井１（Ａ10）</t>
    <rPh sb="0" eb="2">
      <t>イシイ</t>
    </rPh>
    <phoneticPr fontId="53"/>
  </si>
  <si>
    <t>石井３（Ｂ９）</t>
    <rPh sb="0" eb="2">
      <t>イシイ</t>
    </rPh>
    <phoneticPr fontId="53"/>
  </si>
  <si>
    <t>豊郷南小（Ｃ２）</t>
    <phoneticPr fontId="53"/>
  </si>
  <si>
    <t>石井５（Ｄ５）</t>
    <rPh sb="0" eb="2">
      <t>イシイ</t>
    </rPh>
    <phoneticPr fontId="53"/>
  </si>
  <si>
    <t>B(159)＋B(267)</t>
    <phoneticPr fontId="53"/>
  </si>
  <si>
    <t>C(159)＋C(267)</t>
    <phoneticPr fontId="53"/>
  </si>
  <si>
    <t>D(159)＋D(267)</t>
    <phoneticPr fontId="53"/>
  </si>
  <si>
    <t>石井２（Ｂ４）</t>
    <rPh sb="0" eb="2">
      <t>イシイ</t>
    </rPh>
    <phoneticPr fontId="53"/>
  </si>
  <si>
    <t>石井４（Ｄ４）</t>
    <phoneticPr fontId="53"/>
  </si>
  <si>
    <t>A＋B(348)</t>
    <phoneticPr fontId="53"/>
  </si>
  <si>
    <t>C(348)＋D(348)</t>
    <phoneticPr fontId="53"/>
  </si>
  <si>
    <t>日</t>
    <rPh sb="0" eb="1">
      <t>ニチ</t>
    </rPh>
    <phoneticPr fontId="53"/>
  </si>
  <si>
    <t>予備日（石井３４５６、豊郷南小、本郷北小）</t>
    <rPh sb="0" eb="3">
      <t>ヨビビ</t>
    </rPh>
    <rPh sb="4" eb="6">
      <t>イシイ</t>
    </rPh>
    <rPh sb="11" eb="13">
      <t>トヨサト</t>
    </rPh>
    <rPh sb="13" eb="14">
      <t>ミナミ</t>
    </rPh>
    <rPh sb="14" eb="15">
      <t>ショウ</t>
    </rPh>
    <rPh sb="16" eb="18">
      <t>ホンゴウ</t>
    </rPh>
    <rPh sb="18" eb="19">
      <t>キタ</t>
    </rPh>
    <rPh sb="19" eb="20">
      <t>ショウ</t>
    </rPh>
    <phoneticPr fontId="53"/>
  </si>
  <si>
    <t>月</t>
    <rPh sb="0" eb="1">
      <t>ゲツ</t>
    </rPh>
    <phoneticPr fontId="57"/>
  </si>
  <si>
    <t>平出Ａ（Ａ２）</t>
    <rPh sb="0" eb="2">
      <t>ヒライデ</t>
    </rPh>
    <phoneticPr fontId="57"/>
  </si>
  <si>
    <t>石井３（Ｂ２）</t>
    <rPh sb="0" eb="2">
      <t>イシイ</t>
    </rPh>
    <phoneticPr fontId="53"/>
  </si>
  <si>
    <t>石井５（Ｃ９）</t>
    <rPh sb="0" eb="2">
      <t>イシイ</t>
    </rPh>
    <phoneticPr fontId="53"/>
  </si>
  <si>
    <t>本郷北小（Ｄ１）</t>
    <rPh sb="0" eb="2">
      <t>ホンゴウ</t>
    </rPh>
    <rPh sb="2" eb="3">
      <t>キタ</t>
    </rPh>
    <rPh sb="3" eb="4">
      <t>ショウ</t>
    </rPh>
    <phoneticPr fontId="53"/>
  </si>
  <si>
    <t>B(168)＋B(249)</t>
    <phoneticPr fontId="53"/>
  </si>
  <si>
    <t>C(168)＋C(249)</t>
    <phoneticPr fontId="53"/>
  </si>
  <si>
    <t>D(168)＋D(249)</t>
    <phoneticPr fontId="53"/>
  </si>
  <si>
    <t>平出Ｂ（Ａ９）</t>
    <rPh sb="0" eb="2">
      <t>ヒライデ</t>
    </rPh>
    <phoneticPr fontId="57"/>
  </si>
  <si>
    <t>石井４（Ｃ３）</t>
    <rPh sb="0" eb="2">
      <t>イシイ</t>
    </rPh>
    <phoneticPr fontId="53"/>
  </si>
  <si>
    <t>A＋B(357)</t>
    <phoneticPr fontId="53"/>
  </si>
  <si>
    <t>C(357)＋D(357)</t>
    <phoneticPr fontId="53"/>
  </si>
  <si>
    <t>石井１（Ａ３）</t>
    <rPh sb="0" eb="2">
      <t>イシイ</t>
    </rPh>
    <phoneticPr fontId="53"/>
  </si>
  <si>
    <t>試合会場（会場担当）</t>
    <rPh sb="0" eb="2">
      <t>シアイ</t>
    </rPh>
    <rPh sb="2" eb="4">
      <t>カイジョウ</t>
    </rPh>
    <rPh sb="5" eb="7">
      <t>カイジョウ</t>
    </rPh>
    <rPh sb="7" eb="9">
      <t>タントウ</t>
    </rPh>
    <phoneticPr fontId="53"/>
  </si>
  <si>
    <t>組合せ</t>
    <rPh sb="0" eb="2">
      <t>クミアワ</t>
    </rPh>
    <phoneticPr fontId="53"/>
  </si>
  <si>
    <t>節</t>
    <rPh sb="0" eb="1">
      <t>セツ</t>
    </rPh>
    <phoneticPr fontId="53"/>
  </si>
  <si>
    <t>期　日</t>
    <rPh sb="0" eb="1">
      <t>キ</t>
    </rPh>
    <rPh sb="2" eb="3">
      <t>ヒ</t>
    </rPh>
    <phoneticPr fontId="53"/>
  </si>
  <si>
    <t>ＪＦＡ　U-12サッカーリーグ2019（in栃木） 宇河地区リーグ戦（後期）</t>
    <rPh sb="22" eb="24">
      <t>トチギ</t>
    </rPh>
    <rPh sb="26" eb="28">
      <t>ウカワ</t>
    </rPh>
    <rPh sb="28" eb="30">
      <t>チク</t>
    </rPh>
    <rPh sb="35" eb="36">
      <t>アト</t>
    </rPh>
    <phoneticPr fontId="57"/>
  </si>
  <si>
    <t>対戦表　（１／２）</t>
    <rPh sb="2" eb="3">
      <t>ヒョウ</t>
    </rPh>
    <phoneticPr fontId="57"/>
  </si>
  <si>
    <r>
      <t>【　第１節　】　　９／８（</t>
    </r>
    <r>
      <rPr>
        <b/>
        <sz val="14"/>
        <color indexed="10"/>
        <rFont val="ＭＳ Ｐゴシック"/>
        <family val="3"/>
        <charset val="128"/>
      </rPr>
      <t>日</t>
    </r>
    <r>
      <rPr>
        <b/>
        <sz val="14"/>
        <color indexed="8"/>
        <rFont val="ＭＳ Ｐゴシック"/>
        <family val="3"/>
        <charset val="128"/>
      </rPr>
      <t>）</t>
    </r>
    <rPh sb="13" eb="14">
      <t>ニチ</t>
    </rPh>
    <phoneticPr fontId="57"/>
  </si>
  <si>
    <t>Ａ ＋ Ｂ（７８９）</t>
    <phoneticPr fontId="57"/>
  </si>
  <si>
    <t>Ｂ(１２３) ＋ Ｂ(４５６)</t>
    <phoneticPr fontId="57"/>
  </si>
  <si>
    <t>グリーンパーク白沢 Ａ</t>
    <rPh sb="7" eb="9">
      <t>シラサワ</t>
    </rPh>
    <phoneticPr fontId="57"/>
  </si>
  <si>
    <t>グリーンパーク白沢 Ｂ</t>
    <rPh sb="7" eb="9">
      <t>シラサワ</t>
    </rPh>
    <phoneticPr fontId="57"/>
  </si>
  <si>
    <t>平出サッカー場 Ａ</t>
    <rPh sb="0" eb="2">
      <t>ヒライデ</t>
    </rPh>
    <rPh sb="6" eb="7">
      <t>バ</t>
    </rPh>
    <phoneticPr fontId="57"/>
  </si>
  <si>
    <t>宝木キッカーズ</t>
  </si>
  <si>
    <t>ともぞうＳＣ</t>
  </si>
  <si>
    <t>雀宮ＦＣセカンド</t>
  </si>
  <si>
    <t>① 8:30</t>
    <phoneticPr fontId="58"/>
  </si>
  <si>
    <t>B7/B8/B8/B7</t>
    <phoneticPr fontId="53"/>
  </si>
  <si>
    <t>② 9:20</t>
    <phoneticPr fontId="58"/>
  </si>
  <si>
    <t>B7-B8</t>
    <phoneticPr fontId="53"/>
  </si>
  <si>
    <t>A3/A4/A4/A3</t>
    <phoneticPr fontId="53"/>
  </si>
  <si>
    <t>③10:10</t>
    <phoneticPr fontId="58"/>
  </si>
  <si>
    <t>B9/B7/B7/B9</t>
    <phoneticPr fontId="53"/>
  </si>
  <si>
    <t>3-1</t>
    <phoneticPr fontId="53"/>
  </si>
  <si>
    <t>6/4/4/6</t>
    <phoneticPr fontId="53"/>
  </si>
  <si>
    <t>④11:00</t>
    <phoneticPr fontId="58"/>
  </si>
  <si>
    <t>B9-B7</t>
    <phoneticPr fontId="53"/>
  </si>
  <si>
    <t>3/1/1/3</t>
    <phoneticPr fontId="53"/>
  </si>
  <si>
    <t>⑤11:50</t>
    <phoneticPr fontId="58"/>
  </si>
  <si>
    <t>B8/B9/B9/B8</t>
    <phoneticPr fontId="53"/>
  </si>
  <si>
    <t>⑥12:40</t>
    <phoneticPr fontId="58"/>
  </si>
  <si>
    <t>B8-B9</t>
    <phoneticPr fontId="53"/>
  </si>
  <si>
    <t>⑦13:30</t>
    <phoneticPr fontId="58"/>
  </si>
  <si>
    <t>Ｃ(１２３) ＋ Ｃ(４５６)</t>
    <phoneticPr fontId="57"/>
  </si>
  <si>
    <t>Ｃ(７８９) ＋ Ｄ(７８９)</t>
    <phoneticPr fontId="57"/>
  </si>
  <si>
    <t>Ｄ(１２３) ＋ Ｄ(４５６)</t>
    <phoneticPr fontId="57"/>
  </si>
  <si>
    <t>平出サッカー場 Ｂ</t>
    <rPh sb="0" eb="2">
      <t>ヒライデ</t>
    </rPh>
    <rPh sb="6" eb="7">
      <t>バ</t>
    </rPh>
    <phoneticPr fontId="57"/>
  </si>
  <si>
    <t>石井緑地 No.２</t>
    <rPh sb="0" eb="2">
      <t>イシイ</t>
    </rPh>
    <rPh sb="2" eb="4">
      <t>リョクチ</t>
    </rPh>
    <phoneticPr fontId="57"/>
  </si>
  <si>
    <t>石井緑地 No.１</t>
    <rPh sb="0" eb="2">
      <t>イシイ</t>
    </rPh>
    <rPh sb="2" eb="4">
      <t>リョクチ</t>
    </rPh>
    <phoneticPr fontId="57"/>
  </si>
  <si>
    <t>ＦＣアネーロ･U-12</t>
  </si>
  <si>
    <t>ＦＣみらいＶ</t>
  </si>
  <si>
    <t>富士見ＳＳＳ</t>
  </si>
  <si>
    <t>C7-C8</t>
  </si>
  <si>
    <t>D7/D8/D8/D7</t>
  </si>
  <si>
    <t>D7-D8</t>
  </si>
  <si>
    <t>C7/C8/C8/C7</t>
  </si>
  <si>
    <t>C9-C7</t>
  </si>
  <si>
    <t>D9/D7/D7/D9</t>
  </si>
  <si>
    <t>D9-D7</t>
  </si>
  <si>
    <t>C9/C7/C7/C9</t>
  </si>
  <si>
    <t>C8-C9</t>
  </si>
  <si>
    <t>D8/D9/D9/D8</t>
  </si>
  <si>
    <t>D8-D9</t>
  </si>
  <si>
    <t>C8/C9/C9/C8</t>
  </si>
  <si>
    <r>
      <t>【　第２節　】　　９／２９（</t>
    </r>
    <r>
      <rPr>
        <b/>
        <sz val="14"/>
        <color rgb="FFFF0000"/>
        <rFont val="ＭＳ Ｐゴシック"/>
        <family val="3"/>
        <charset val="128"/>
      </rPr>
      <t>日</t>
    </r>
    <r>
      <rPr>
        <b/>
        <sz val="14"/>
        <rFont val="ＭＳ Ｐゴシック"/>
        <family val="3"/>
        <charset val="128"/>
      </rPr>
      <t>）</t>
    </r>
    <phoneticPr fontId="57"/>
  </si>
  <si>
    <r>
      <t>Ａ ＋</t>
    </r>
    <r>
      <rPr>
        <sz val="11"/>
        <color rgb="FFFF0000"/>
        <rFont val="ＭＳ Ｐゴシック"/>
        <family val="3"/>
        <charset val="128"/>
      </rPr>
      <t xml:space="preserve"> Ｂ（３６９）</t>
    </r>
    <phoneticPr fontId="57"/>
  </si>
  <si>
    <r>
      <t xml:space="preserve">Ｂ(１４７) ＋ </t>
    </r>
    <r>
      <rPr>
        <sz val="11"/>
        <color rgb="FFFF0000"/>
        <rFont val="ＭＳ Ｐゴシック"/>
        <family val="3"/>
        <charset val="128"/>
      </rPr>
      <t>Ｂ(２５８)</t>
    </r>
    <phoneticPr fontId="57"/>
  </si>
  <si>
    <t>姿川第一小学校</t>
    <rPh sb="0" eb="1">
      <t>スガタ</t>
    </rPh>
    <rPh sb="1" eb="2">
      <t>カワ</t>
    </rPh>
    <rPh sb="2" eb="4">
      <t>ダイイチ</t>
    </rPh>
    <rPh sb="4" eb="7">
      <t>ショウガッコウ</t>
    </rPh>
    <phoneticPr fontId="57"/>
  </si>
  <si>
    <t>サウス宇都宮ＳＣ</t>
  </si>
  <si>
    <t>ｕｎｉｏｎｓｃU12</t>
  </si>
  <si>
    <t>B9/B3/B3/B9</t>
  </si>
  <si>
    <t>B9-B3</t>
  </si>
  <si>
    <t>B6/B9/B9/B6</t>
  </si>
  <si>
    <t>B6-B9</t>
  </si>
  <si>
    <t>B3/B6/B6/B3</t>
  </si>
  <si>
    <t>B3-B6</t>
  </si>
  <si>
    <t>Ｃ(１４７) ＋ Ｃ(３６９)</t>
    <phoneticPr fontId="57"/>
  </si>
  <si>
    <t>Ｃ(２５８) ＋ Ｄ(２５８)</t>
    <phoneticPr fontId="57"/>
  </si>
  <si>
    <t>Ｄ(１４７) ＋ Ｄ(３６９)</t>
    <phoneticPr fontId="57"/>
  </si>
  <si>
    <t>豊郷南小学校</t>
    <rPh sb="0" eb="2">
      <t>トヨサト</t>
    </rPh>
    <rPh sb="2" eb="3">
      <t>ミナミ</t>
    </rPh>
    <rPh sb="3" eb="4">
      <t>ショウ</t>
    </rPh>
    <rPh sb="4" eb="6">
      <t>ガッコウ</t>
    </rPh>
    <phoneticPr fontId="57"/>
  </si>
  <si>
    <t>石井緑地 No.１</t>
    <rPh sb="0" eb="2">
      <t>イシイ</t>
    </rPh>
    <phoneticPr fontId="57"/>
  </si>
  <si>
    <t>ＦＣグランディール</t>
  </si>
  <si>
    <t>9-3</t>
    <phoneticPr fontId="53"/>
  </si>
  <si>
    <t>C8-C2</t>
  </si>
  <si>
    <t>D8/D2/D2/D8</t>
  </si>
  <si>
    <t>9/3/3/9</t>
    <phoneticPr fontId="53"/>
  </si>
  <si>
    <t>D8-D2</t>
  </si>
  <si>
    <t>C8/C2/C2/C8</t>
    <phoneticPr fontId="53"/>
  </si>
  <si>
    <t>C5-C8</t>
  </si>
  <si>
    <t>D5/D8/D8/D5</t>
    <phoneticPr fontId="53"/>
  </si>
  <si>
    <t>D5-D8</t>
  </si>
  <si>
    <t>C5/C8/C8/C5</t>
    <phoneticPr fontId="53"/>
  </si>
  <si>
    <t>C2-C5</t>
  </si>
  <si>
    <t>D2/D5/D5/D2</t>
    <phoneticPr fontId="53"/>
  </si>
  <si>
    <t>D2-D5</t>
  </si>
  <si>
    <t>C2/C5/C5/C2</t>
    <phoneticPr fontId="53"/>
  </si>
  <si>
    <t>対戦表　（２／２）</t>
    <rPh sb="2" eb="3">
      <t>ヒョウ</t>
    </rPh>
    <phoneticPr fontId="57"/>
  </si>
  <si>
    <r>
      <t>【　第３節　】　　１０／１２（</t>
    </r>
    <r>
      <rPr>
        <b/>
        <sz val="14"/>
        <color rgb="FF0066CC"/>
        <rFont val="ＭＳ Ｐゴシック"/>
        <family val="3"/>
        <charset val="128"/>
      </rPr>
      <t>土</t>
    </r>
    <r>
      <rPr>
        <b/>
        <sz val="14"/>
        <rFont val="ＭＳ Ｐゴシック"/>
        <family val="3"/>
        <charset val="128"/>
      </rPr>
      <t>）</t>
    </r>
    <rPh sb="15" eb="16">
      <t>ド</t>
    </rPh>
    <phoneticPr fontId="57"/>
  </si>
  <si>
    <t>Ａ ＋ Ｂ（３４８）</t>
    <phoneticPr fontId="57"/>
  </si>
  <si>
    <t>Ｂ(１５９) ＋ Ｂ(２６７)</t>
    <phoneticPr fontId="57"/>
  </si>
  <si>
    <t>石井緑地 No.３</t>
    <rPh sb="0" eb="2">
      <t>イシイ</t>
    </rPh>
    <rPh sb="2" eb="4">
      <t>リョクチ</t>
    </rPh>
    <phoneticPr fontId="57"/>
  </si>
  <si>
    <t>昭和・戸祭ＳＣ-S</t>
  </si>
  <si>
    <t>シャルムグランツＳＣ</t>
  </si>
  <si>
    <t>上三川ＳＣ</t>
  </si>
  <si>
    <t>A6-A9</t>
    <phoneticPr fontId="53"/>
  </si>
  <si>
    <t>D4/D8/D8/D4</t>
    <phoneticPr fontId="53"/>
  </si>
  <si>
    <t>6-7</t>
    <phoneticPr fontId="53"/>
  </si>
  <si>
    <t>5/9/9/5</t>
    <phoneticPr fontId="53"/>
  </si>
  <si>
    <t>② 9:40</t>
    <phoneticPr fontId="58"/>
  </si>
  <si>
    <t>D4-D8</t>
    <phoneticPr fontId="53"/>
  </si>
  <si>
    <t>A6/A9/A9/A6</t>
    <phoneticPr fontId="53"/>
  </si>
  <si>
    <t>5-9</t>
    <phoneticPr fontId="53"/>
  </si>
  <si>
    <t>6/7/7/6</t>
    <phoneticPr fontId="53"/>
  </si>
  <si>
    <t>③10:20</t>
    <phoneticPr fontId="58"/>
  </si>
  <si>
    <t>A8-A1</t>
    <phoneticPr fontId="53"/>
  </si>
  <si>
    <t>D3/D4/D4/D3</t>
    <phoneticPr fontId="53"/>
  </si>
  <si>
    <t>1/5/5/1</t>
    <phoneticPr fontId="53"/>
  </si>
  <si>
    <t>D3-D4</t>
    <phoneticPr fontId="53"/>
  </si>
  <si>
    <t>A8/A1/A1/A8</t>
    <phoneticPr fontId="53"/>
  </si>
  <si>
    <t>2/6/6/2</t>
    <phoneticPr fontId="53"/>
  </si>
  <si>
    <t>⑤11:40</t>
    <phoneticPr fontId="58"/>
  </si>
  <si>
    <t>A5-A8</t>
    <phoneticPr fontId="53"/>
  </si>
  <si>
    <t>D8/D3/D3/D8</t>
    <phoneticPr fontId="53"/>
  </si>
  <si>
    <t>7-2</t>
    <phoneticPr fontId="53"/>
  </si>
  <si>
    <t>⑥12:20</t>
    <phoneticPr fontId="58"/>
  </si>
  <si>
    <t>D8-D3</t>
    <phoneticPr fontId="53"/>
  </si>
  <si>
    <t>A5/A8/A8/A5</t>
    <phoneticPr fontId="53"/>
  </si>
  <si>
    <t>⑦13:00</t>
    <phoneticPr fontId="58"/>
  </si>
  <si>
    <t>Ｃ(１５９) ＋ Ｃ(２６７)</t>
    <phoneticPr fontId="57"/>
  </si>
  <si>
    <t>Ｃ(３４８) ＋ Ｄ(３４８)</t>
    <phoneticPr fontId="57"/>
  </si>
  <si>
    <t>Ｄ(１５９) ＋ Ｄ(２６７)</t>
    <phoneticPr fontId="57"/>
  </si>
  <si>
    <t>石井緑地 No.４</t>
    <rPh sb="0" eb="2">
      <t>イシイ</t>
    </rPh>
    <rPh sb="2" eb="4">
      <t>リョクチ</t>
    </rPh>
    <phoneticPr fontId="57"/>
  </si>
  <si>
    <t>石井緑地 No.５</t>
    <rPh sb="0" eb="2">
      <t>イシイ</t>
    </rPh>
    <rPh sb="2" eb="4">
      <t>リョクチ</t>
    </rPh>
    <phoneticPr fontId="57"/>
  </si>
  <si>
    <t>カテット白沢ＳＳ</t>
  </si>
  <si>
    <t>雀宮ＦＣ</t>
  </si>
  <si>
    <t>C4-C8</t>
    <phoneticPr fontId="53"/>
  </si>
  <si>
    <t>C4/C8/C8/C4</t>
    <phoneticPr fontId="53"/>
  </si>
  <si>
    <t>C3-C4</t>
    <phoneticPr fontId="53"/>
  </si>
  <si>
    <t>C3/C4/C4/C3</t>
    <phoneticPr fontId="53"/>
  </si>
  <si>
    <t>C8-C3</t>
    <phoneticPr fontId="53"/>
  </si>
  <si>
    <t>C8/C3/C3/C8</t>
    <phoneticPr fontId="53"/>
  </si>
  <si>
    <r>
      <t>【　第４節　】　　１０／１４（</t>
    </r>
    <r>
      <rPr>
        <b/>
        <sz val="14"/>
        <color rgb="FFFF0000"/>
        <rFont val="ＭＳ Ｐゴシック"/>
        <family val="3"/>
        <charset val="128"/>
      </rPr>
      <t>月：祝</t>
    </r>
    <r>
      <rPr>
        <b/>
        <sz val="14"/>
        <rFont val="ＭＳ Ｐゴシック"/>
        <family val="3"/>
        <charset val="128"/>
      </rPr>
      <t>）</t>
    </r>
    <rPh sb="15" eb="16">
      <t>ゲツ</t>
    </rPh>
    <rPh sb="17" eb="18">
      <t>シュク</t>
    </rPh>
    <phoneticPr fontId="57"/>
  </si>
  <si>
    <t>Ａ ＋ Ｂ（３５７）</t>
    <phoneticPr fontId="57"/>
  </si>
  <si>
    <t>Ｂ(１６８) ＋ Ｂ(２４９)</t>
    <phoneticPr fontId="57"/>
  </si>
  <si>
    <t>国本ＪＳＣ</t>
  </si>
  <si>
    <t>泉ＦＣ宇都宮</t>
  </si>
  <si>
    <t>ＦＣグラシアス</t>
  </si>
  <si>
    <t>4/8/8/4</t>
  </si>
  <si>
    <t>B3-B5</t>
  </si>
  <si>
    <t>B7/B3/B3/B7</t>
    <phoneticPr fontId="53"/>
  </si>
  <si>
    <t>B7-B3</t>
  </si>
  <si>
    <t>B5-B7</t>
  </si>
  <si>
    <t>Ｃ(１６８) ＋ Ｃ(２４９)</t>
    <phoneticPr fontId="57"/>
  </si>
  <si>
    <t>Ｃ(３５７) ＋ Ｄ(３５７)</t>
    <phoneticPr fontId="57"/>
  </si>
  <si>
    <t>Ｄ(１６８) ＋ Ｄ(２４９)</t>
    <phoneticPr fontId="57"/>
  </si>
  <si>
    <t>本郷北小学校</t>
    <rPh sb="0" eb="2">
      <t>ホンゴウ</t>
    </rPh>
    <rPh sb="2" eb="3">
      <t>キタ</t>
    </rPh>
    <rPh sb="3" eb="6">
      <t>ショウガッコウ</t>
    </rPh>
    <phoneticPr fontId="57"/>
  </si>
  <si>
    <t>上三川ＦＣ</t>
  </si>
  <si>
    <t>ＦＣブロケード</t>
  </si>
  <si>
    <t>本郷北ＦＣ</t>
  </si>
  <si>
    <t>C3-C5</t>
  </si>
  <si>
    <t>D3/D5/D5/D3</t>
    <phoneticPr fontId="53"/>
  </si>
  <si>
    <t>D3-D5</t>
  </si>
  <si>
    <t>C7-C3</t>
  </si>
  <si>
    <t>D7/D3/D3/D7</t>
    <phoneticPr fontId="53"/>
  </si>
  <si>
    <t>D7-D3</t>
  </si>
  <si>
    <t>C5-C7</t>
  </si>
  <si>
    <t>D5/D7/D7/D5</t>
    <phoneticPr fontId="53"/>
  </si>
  <si>
    <t>D5-D7</t>
  </si>
  <si>
    <r>
      <t>【　第５節　】　　１１／１６（</t>
    </r>
    <r>
      <rPr>
        <b/>
        <sz val="14"/>
        <color rgb="FF0066CC"/>
        <rFont val="ＭＳ Ｐゴシック"/>
        <family val="3"/>
        <charset val="128"/>
      </rPr>
      <t>土</t>
    </r>
    <r>
      <rPr>
        <b/>
        <sz val="14"/>
        <rFont val="ＭＳ Ｐゴシック"/>
        <family val="3"/>
        <charset val="128"/>
      </rPr>
      <t>）</t>
    </r>
    <rPh sb="15" eb="16">
      <t>ド</t>
    </rPh>
    <phoneticPr fontId="57"/>
  </si>
  <si>
    <t>カテット白沢U11</t>
  </si>
  <si>
    <t>ＪＦＡ　Ｕ-１２サッカーリーグ2019（in栃木） 宇河地区リーグ戦（後期）</t>
    <rPh sb="28" eb="30">
      <t>チク</t>
    </rPh>
    <rPh sb="35" eb="36">
      <t>アト</t>
    </rPh>
    <phoneticPr fontId="53"/>
  </si>
  <si>
    <t>ブロック別　組合せ・日程・会場一覧</t>
    <rPh sb="4" eb="5">
      <t>ベツ</t>
    </rPh>
    <rPh sb="6" eb="8">
      <t>クミアワ</t>
    </rPh>
    <rPh sb="10" eb="12">
      <t>ニッテイ</t>
    </rPh>
    <rPh sb="13" eb="15">
      <t>カイジョウ</t>
    </rPh>
    <rPh sb="15" eb="17">
      <t>イチラン</t>
    </rPh>
    <phoneticPr fontId="57"/>
  </si>
  <si>
    <t>ＪＦＡ　U-12サッカーリーグ2019（in栃木） 宇河地区リーグ戦（後期）【Ａブロック　第１節】</t>
    <rPh sb="28" eb="30">
      <t>チク</t>
    </rPh>
    <rPh sb="35" eb="36">
      <t>アト</t>
    </rPh>
    <phoneticPr fontId="53"/>
  </si>
  <si>
    <t>ＪＦＡ　U-12サッカーリーグ2019（in栃木） 宇河地区リーグ戦（後期）【Ａ＋Ｂブロック　第１節】</t>
    <rPh sb="28" eb="30">
      <t>チク</t>
    </rPh>
    <rPh sb="35" eb="36">
      <t>アト</t>
    </rPh>
    <phoneticPr fontId="53"/>
  </si>
  <si>
    <t>A1</t>
    <phoneticPr fontId="53"/>
  </si>
  <si>
    <t>A6</t>
    <phoneticPr fontId="53"/>
  </si>
  <si>
    <t>B7</t>
    <phoneticPr fontId="53"/>
  </si>
  <si>
    <t>B8</t>
    <phoneticPr fontId="53"/>
  </si>
  <si>
    <t>A8</t>
    <phoneticPr fontId="53"/>
  </si>
  <si>
    <t>B9</t>
    <phoneticPr fontId="53"/>
  </si>
  <si>
    <t>A9</t>
    <phoneticPr fontId="53"/>
  </si>
  <si>
    <t>A5</t>
    <phoneticPr fontId="53"/>
  </si>
  <si>
    <t>スコア</t>
    <phoneticPr fontId="53"/>
  </si>
  <si>
    <t>B3</t>
    <phoneticPr fontId="53"/>
  </si>
  <si>
    <t>B4</t>
    <phoneticPr fontId="53"/>
  </si>
  <si>
    <t>B5</t>
    <phoneticPr fontId="53"/>
  </si>
  <si>
    <t>ＪＦＡ　U-12サッカーリーグ2019（in栃木） 宇河地区リーグ戦（後期）　星取表</t>
    <rPh sb="28" eb="30">
      <t>チク</t>
    </rPh>
    <rPh sb="35" eb="36">
      <t>アト</t>
    </rPh>
    <phoneticPr fontId="53"/>
  </si>
  <si>
    <t>ＪＦＡ　U-12サッカーリーグ2019（in栃木） 宇河地区リーグ戦（後期）【Ｃ＋Ｄブロック　第１節】</t>
    <rPh sb="28" eb="30">
      <t>チク</t>
    </rPh>
    <rPh sb="35" eb="36">
      <t>アト</t>
    </rPh>
    <phoneticPr fontId="53"/>
  </si>
  <si>
    <t>ＪＦＡ　U-12サッカーリーグ2019（in栃木） 宇河地区リーグ戦（後期）【Ｃ＋Ｄブロック　第２節】</t>
    <rPh sb="28" eb="30">
      <t>チク</t>
    </rPh>
    <rPh sb="35" eb="36">
      <t>アト</t>
    </rPh>
    <phoneticPr fontId="53"/>
  </si>
  <si>
    <t>ＪＦＡ　U-12サッカーリーグ2019（in栃木） 宇河地区リーグ戦（後期）【Ｃ＋Ｄブロック　第３節】</t>
    <rPh sb="28" eb="30">
      <t>チク</t>
    </rPh>
    <rPh sb="35" eb="36">
      <t>アト</t>
    </rPh>
    <phoneticPr fontId="53"/>
  </si>
  <si>
    <t>ＪＦＡ　U-12サッカーリーグ2019（in栃木） 宇河地区リーグ戦（後期）【Ｃ＋Ｄブロック　第４節】</t>
    <rPh sb="28" eb="30">
      <t>チク</t>
    </rPh>
    <rPh sb="35" eb="36">
      <t>アト</t>
    </rPh>
    <phoneticPr fontId="53"/>
  </si>
  <si>
    <t>ＪＦＡ　U-12サッカーリーグ2019（in栃木） 宇河地区リーグ戦（後期）【Ａ＋Ｂブロック　第２節】</t>
    <rPh sb="28" eb="30">
      <t>チク</t>
    </rPh>
    <rPh sb="35" eb="36">
      <t>アト</t>
    </rPh>
    <phoneticPr fontId="53"/>
  </si>
  <si>
    <t>ＪＦＡ　U-12サッカーリーグ2019（in栃木） 宇河地区リーグ戦（後期）【Ａ＋Ｂブロック　第３節】</t>
    <rPh sb="28" eb="30">
      <t>チク</t>
    </rPh>
    <rPh sb="35" eb="36">
      <t>アト</t>
    </rPh>
    <phoneticPr fontId="53"/>
  </si>
  <si>
    <t>ＪＦＡ　U-12サッカーリーグ2019（in栃木） 宇河地区リーグ戦（後期）【Ａ＋Ｂブロック　第４節】</t>
    <rPh sb="28" eb="30">
      <t>チク</t>
    </rPh>
    <rPh sb="35" eb="36">
      <t>アト</t>
    </rPh>
    <phoneticPr fontId="53"/>
  </si>
  <si>
    <t>ＪＦＡ　U-12サッカーリーグ2019（in栃木） 宇河地区リーグ戦（後期）【Ａブロック　第２節】</t>
    <rPh sb="28" eb="30">
      <t>チク</t>
    </rPh>
    <rPh sb="35" eb="36">
      <t>アト</t>
    </rPh>
    <phoneticPr fontId="53"/>
  </si>
  <si>
    <t>ＪＦＡ　U-12サッカーリーグ2019（in栃木） 宇河地区リーグ戦（後期）【Ａブロック　第３節】</t>
    <rPh sb="28" eb="30">
      <t>チク</t>
    </rPh>
    <rPh sb="35" eb="36">
      <t>アト</t>
    </rPh>
    <phoneticPr fontId="53"/>
  </si>
  <si>
    <t>ＪＦＡ　U-12サッカーリーグ2019（in栃木） 宇河地区リーグ戦（後期）【Ａブロック　第４節】</t>
    <rPh sb="28" eb="30">
      <t>チク</t>
    </rPh>
    <rPh sb="35" eb="36">
      <t>アト</t>
    </rPh>
    <phoneticPr fontId="53"/>
  </si>
  <si>
    <t>ＪＦＡ　U-12サッカーリーグ2019（in栃木） 宇河地区リーグ戦（後期）【Ａブロック　第５節】</t>
    <rPh sb="28" eb="30">
      <t>チク</t>
    </rPh>
    <rPh sb="35" eb="36">
      <t>アト</t>
    </rPh>
    <phoneticPr fontId="53"/>
  </si>
  <si>
    <t>ＪＦＡ　U-12サッカーリーグ2019（in栃木） 宇河地区リーグ戦（後期）【Ｂブロック　第１節】</t>
    <rPh sb="28" eb="30">
      <t>チク</t>
    </rPh>
    <rPh sb="35" eb="36">
      <t>アト</t>
    </rPh>
    <phoneticPr fontId="53"/>
  </si>
  <si>
    <t>ＪＦＡ　U-12サッカーリーグ2019（in栃木） 宇河地区リーグ戦（後期）【Ｂブロック　第２節】</t>
    <rPh sb="28" eb="30">
      <t>チク</t>
    </rPh>
    <rPh sb="35" eb="36">
      <t>アト</t>
    </rPh>
    <phoneticPr fontId="53"/>
  </si>
  <si>
    <t>ＪＦＡ　U-12サッカーリーグ2019（in栃木） 宇河地区リーグ戦（後期）【Ｂブロック　第３節】</t>
    <rPh sb="28" eb="30">
      <t>チク</t>
    </rPh>
    <rPh sb="35" eb="36">
      <t>アト</t>
    </rPh>
    <phoneticPr fontId="53"/>
  </si>
  <si>
    <t>ＪＦＡ　U-12サッカーリーグ2019（in栃木） 宇河地区リーグ戦（後期）【Ｂブロック　第４節】</t>
    <rPh sb="28" eb="30">
      <t>チク</t>
    </rPh>
    <rPh sb="35" eb="36">
      <t>アト</t>
    </rPh>
    <phoneticPr fontId="53"/>
  </si>
  <si>
    <t>ＪＦＡ　U-12サッカーリーグ2019（in栃木） 宇河地区リーグ戦（後期）【Ｄブロック　第１節】</t>
    <rPh sb="28" eb="30">
      <t>チク</t>
    </rPh>
    <rPh sb="35" eb="36">
      <t>アト</t>
    </rPh>
    <phoneticPr fontId="53"/>
  </si>
  <si>
    <t>ＪＦＡ　U-12サッカーリーグ2019（in栃木） 宇河地区リーグ戦（後期）【Ｄブロック　第２節】</t>
    <rPh sb="28" eb="30">
      <t>チク</t>
    </rPh>
    <rPh sb="35" eb="36">
      <t>アト</t>
    </rPh>
    <phoneticPr fontId="53"/>
  </si>
  <si>
    <t>ＪＦＡ　U-12サッカーリーグ2019（in栃木） 宇河地区リーグ戦（後期）【Ｄブロック　第３節】</t>
    <rPh sb="28" eb="30">
      <t>チク</t>
    </rPh>
    <rPh sb="35" eb="36">
      <t>アト</t>
    </rPh>
    <phoneticPr fontId="53"/>
  </si>
  <si>
    <t>ＪＦＡ　U-12サッカーリーグ2019（in栃木） 宇河地区リーグ戦（後期）【Ｄブロック　第４節】</t>
    <rPh sb="28" eb="30">
      <t>チク</t>
    </rPh>
    <rPh sb="35" eb="36">
      <t>アト</t>
    </rPh>
    <phoneticPr fontId="53"/>
  </si>
  <si>
    <t>ＪＦＡ　U-12サッカーリーグ2019（in栃木） 宇河地区リーグ戦（後期）【Ｃブロック　第１節】</t>
    <rPh sb="28" eb="30">
      <t>チク</t>
    </rPh>
    <rPh sb="35" eb="36">
      <t>アト</t>
    </rPh>
    <phoneticPr fontId="53"/>
  </si>
  <si>
    <t>ＪＦＡ　U-12サッカーリーグ2019（in栃木） 宇河地区リーグ戦（後期）【Ｃブロック　第２節】</t>
    <rPh sb="28" eb="30">
      <t>チク</t>
    </rPh>
    <rPh sb="35" eb="36">
      <t>アト</t>
    </rPh>
    <phoneticPr fontId="53"/>
  </si>
  <si>
    <t>ＪＦＡ　U-12サッカーリーグ2019（in栃木） 宇河地区リーグ戦（後期）【Ｃブロック　第３節】</t>
    <rPh sb="28" eb="30">
      <t>チク</t>
    </rPh>
    <rPh sb="35" eb="36">
      <t>アト</t>
    </rPh>
    <phoneticPr fontId="53"/>
  </si>
  <si>
    <t>ＪＦＡ　U-12サッカーリーグ2019（in栃木） 宇河地区リーグ戦（後期）【Ｃブロック　第４節】</t>
    <rPh sb="28" eb="30">
      <t>チク</t>
    </rPh>
    <rPh sb="35" eb="36">
      <t>アト</t>
    </rPh>
    <phoneticPr fontId="53"/>
  </si>
  <si>
    <t>【監督会議　８：００～】　【試合時間　１５分-５分-１５分】</t>
    <rPh sb="1" eb="3">
      <t>カントク</t>
    </rPh>
    <rPh sb="3" eb="5">
      <t>カイギ</t>
    </rPh>
    <phoneticPr fontId="53"/>
  </si>
  <si>
    <t>【監督会議　８：３０～】　【試合時間　１５分-５分-１５分】</t>
    <rPh sb="1" eb="3">
      <t>カントク</t>
    </rPh>
    <rPh sb="3" eb="5">
      <t>カイギ</t>
    </rPh>
    <phoneticPr fontId="53"/>
  </si>
  <si>
    <t>スコア</t>
    <phoneticPr fontId="53"/>
  </si>
  <si>
    <t>B6</t>
    <phoneticPr fontId="53"/>
  </si>
  <si>
    <t>警告　　退場</t>
    <phoneticPr fontId="53"/>
  </si>
  <si>
    <t>B4/B8/B8/B4</t>
  </si>
  <si>
    <t>B4-B8</t>
  </si>
  <si>
    <t>B3/B4/B4/B3</t>
  </si>
  <si>
    <t>B8/B3/B3/B8</t>
  </si>
  <si>
    <t>B8-B3</t>
  </si>
  <si>
    <t>C8</t>
    <phoneticPr fontId="53"/>
  </si>
  <si>
    <t>D7</t>
    <phoneticPr fontId="53"/>
  </si>
  <si>
    <t>D8</t>
    <phoneticPr fontId="53"/>
  </si>
  <si>
    <t>C9</t>
    <phoneticPr fontId="53"/>
  </si>
  <si>
    <t>D9</t>
    <phoneticPr fontId="53"/>
  </si>
  <si>
    <t>C2</t>
    <phoneticPr fontId="53"/>
  </si>
  <si>
    <t>D2</t>
    <phoneticPr fontId="53"/>
  </si>
  <si>
    <t>D5</t>
    <phoneticPr fontId="53"/>
  </si>
  <si>
    <t>D3</t>
    <phoneticPr fontId="53"/>
  </si>
  <si>
    <t>上河内ＪＳＣ</t>
    <rPh sb="0" eb="3">
      <t>カミカワチ</t>
    </rPh>
    <phoneticPr fontId="53"/>
  </si>
  <si>
    <t>江連　大喜</t>
    <rPh sb="0" eb="2">
      <t>エヅレ</t>
    </rPh>
    <rPh sb="3" eb="4">
      <t>オオ</t>
    </rPh>
    <rPh sb="4" eb="5">
      <t>キ</t>
    </rPh>
    <phoneticPr fontId="53"/>
  </si>
  <si>
    <t>チャージング（後ろから）</t>
    <rPh sb="7" eb="8">
      <t>ウシ</t>
    </rPh>
    <phoneticPr fontId="5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</si>
</sst>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176" formatCode="0.00000"/>
    <numFmt numFmtId="177" formatCode="[$-411]ggge&quot;年&quot;m&quot;月&quot;d&quot;日&quot;;@"/>
    <numFmt numFmtId="178" formatCode="yyyy/m/d&quot; (&quot;aaa&quot;)&quot;"/>
    <numFmt numFmtId="179" formatCode="0_ "/>
    <numFmt numFmtId="180" formatCode="m/d;@"/>
    <numFmt numFmtId="181" formatCode="0.00000_ "/>
  </numFmts>
  <fonts count="85" x14ac:knownFonts="1">
    <font>
      <sz val="11"/>
      <color theme="1"/>
      <name val="游ゴシック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游ゴシック"/>
      <family val="3"/>
      <charset val="128"/>
    </font>
    <font>
      <sz val="14"/>
      <color indexed="8"/>
      <name val="游ゴシック"/>
      <family val="3"/>
      <charset val="128"/>
    </font>
    <font>
      <sz val="18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游ゴシック"/>
      <family val="3"/>
      <charset val="128"/>
    </font>
    <font>
      <sz val="11"/>
      <name val="游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AR P丸ゴシック体M"/>
      <family val="3"/>
      <charset val="128"/>
    </font>
    <font>
      <b/>
      <sz val="14"/>
      <color indexed="8"/>
      <name val="游ゴシック"/>
      <family val="3"/>
      <charset val="128"/>
    </font>
    <font>
      <b/>
      <sz val="14"/>
      <color indexed="8"/>
      <name val="AR P丸ゴシック体M"/>
      <family val="3"/>
      <charset val="128"/>
    </font>
    <font>
      <b/>
      <sz val="11"/>
      <color indexed="8"/>
      <name val="AR P丸ゴシック体M"/>
      <family val="3"/>
      <charset val="128"/>
    </font>
    <font>
      <b/>
      <sz val="11"/>
      <color indexed="8"/>
      <name val="游ゴシック"/>
      <family val="3"/>
      <charset val="128"/>
    </font>
    <font>
      <b/>
      <sz val="12"/>
      <color indexed="8"/>
      <name val="AR P丸ゴシック体M"/>
      <family val="3"/>
      <charset val="128"/>
    </font>
    <font>
      <b/>
      <i/>
      <u/>
      <sz val="12"/>
      <color indexed="8"/>
      <name val="AR P丸ゴシック体M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i/>
      <sz val="14"/>
      <color indexed="8"/>
      <name val="AR P丸ゴシック体M"/>
      <family val="3"/>
      <charset val="128"/>
    </font>
    <font>
      <b/>
      <sz val="14"/>
      <name val="AR P丸ゴシック体M"/>
      <family val="3"/>
      <charset val="128"/>
    </font>
    <font>
      <b/>
      <sz val="14"/>
      <color rgb="FFFF0000"/>
      <name val="AR P丸ゴシック体M"/>
      <family val="3"/>
      <charset val="128"/>
    </font>
    <font>
      <b/>
      <sz val="14"/>
      <color rgb="FF0070C0"/>
      <name val="AR P丸ゴシック体M"/>
      <family val="3"/>
      <charset val="128"/>
    </font>
    <font>
      <sz val="11"/>
      <name val="AR P丸ゴシック体M"/>
      <family val="3"/>
      <charset val="128"/>
    </font>
    <font>
      <b/>
      <sz val="12"/>
      <name val="AR P丸ゴシック体M"/>
      <family val="3"/>
      <charset val="128"/>
    </font>
    <font>
      <b/>
      <strike/>
      <sz val="12"/>
      <name val="AR P丸ゴシック体M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rgb="FFFF0000"/>
      <name val="游ゴシック"/>
      <family val="3"/>
      <charset val="128"/>
    </font>
    <font>
      <sz val="14"/>
      <name val="AR丸ゴシック体M"/>
      <family val="3"/>
      <charset val="128"/>
    </font>
    <font>
      <sz val="11"/>
      <name val="AR丸ゴシック体M"/>
      <family val="3"/>
      <charset val="128"/>
    </font>
    <font>
      <b/>
      <sz val="11"/>
      <name val="AR丸ゴシック体M"/>
      <family val="3"/>
      <charset val="128"/>
    </font>
    <font>
      <sz val="11"/>
      <color indexed="8"/>
      <name val="AR丸ゴシック体M"/>
      <family val="3"/>
      <charset val="128"/>
    </font>
    <font>
      <sz val="11"/>
      <color indexed="10"/>
      <name val="AR丸ゴシック体M"/>
      <family val="3"/>
      <charset val="128"/>
    </font>
    <font>
      <sz val="12"/>
      <name val="AR丸ゴシック体M"/>
      <family val="3"/>
      <charset val="128"/>
    </font>
    <font>
      <sz val="14"/>
      <color indexed="8"/>
      <name val="AR丸ゴシック体M"/>
      <family val="3"/>
      <charset val="128"/>
    </font>
    <font>
      <sz val="12"/>
      <color indexed="8"/>
      <name val="AR丸ゴシック体M"/>
      <family val="3"/>
      <charset val="128"/>
    </font>
    <font>
      <b/>
      <sz val="12"/>
      <color indexed="30"/>
      <name val="AR丸ゴシック体M"/>
      <family val="3"/>
      <charset val="128"/>
    </font>
    <font>
      <sz val="12"/>
      <name val="AR P丸ゴシック体M"/>
      <family val="3"/>
      <charset val="128"/>
    </font>
    <font>
      <sz val="10"/>
      <color indexed="8"/>
      <name val="Times New Roman"/>
      <family val="1"/>
    </font>
    <font>
      <u/>
      <sz val="11"/>
      <color theme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theme="10"/>
      <name val="游ゴシック"/>
      <family val="3"/>
      <charset val="128"/>
    </font>
    <font>
      <b/>
      <strike/>
      <sz val="12"/>
      <color indexed="8"/>
      <name val="AR P丸ゴシック体M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2"/>
      <color rgb="FFFF0000"/>
      <name val="AR丸ゴシック体M"/>
      <family val="3"/>
      <charset val="128"/>
    </font>
    <font>
      <sz val="11"/>
      <color theme="1"/>
      <name val="游ゴシック"/>
      <family val="3"/>
      <charset val="128"/>
    </font>
    <font>
      <sz val="6"/>
      <name val="游ゴシック"/>
      <family val="3"/>
      <charset val="128"/>
    </font>
    <font>
      <sz val="10"/>
      <name val="ＭＳ Ｐゴシック"/>
      <family val="3"/>
      <charset val="128"/>
    </font>
    <font>
      <sz val="12"/>
      <color theme="1"/>
      <name val="游ゴシック"/>
      <family val="3"/>
      <charset val="128"/>
    </font>
    <font>
      <sz val="12"/>
      <color indexed="8"/>
      <name val="AR P丸ゴシック体M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AR P丸ゴシック体M"/>
      <family val="3"/>
      <charset val="128"/>
    </font>
    <font>
      <sz val="12"/>
      <color theme="1"/>
      <name val="AR P丸ゴシック体M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1"/>
      <color theme="1"/>
      <name val="AR P丸ゴシック体M"/>
      <family val="3"/>
      <charset val="128"/>
    </font>
    <font>
      <sz val="11"/>
      <color rgb="FFFF0000"/>
      <name val="AR丸ゴシック体M"/>
      <family val="3"/>
      <charset val="128"/>
    </font>
    <font>
      <sz val="11"/>
      <color rgb="FFFF0000"/>
      <name val="游ゴシック"/>
      <family val="3"/>
      <charset val="128"/>
    </font>
    <font>
      <sz val="12"/>
      <color rgb="FFFF0000"/>
      <name val="AR P丸ゴシック体M"/>
      <family val="3"/>
      <charset val="128"/>
    </font>
    <font>
      <b/>
      <sz val="12"/>
      <color rgb="FF0066CC"/>
      <name val="AR丸ゴシック体M"/>
      <family val="3"/>
      <charset val="128"/>
    </font>
    <font>
      <sz val="14"/>
      <color theme="1"/>
      <name val="AR丸ゴシック体M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b/>
      <sz val="14"/>
      <color rgb="FF0066CC"/>
      <name val="ＭＳ Ｐゴシック"/>
      <family val="3"/>
      <charset val="128"/>
    </font>
    <font>
      <b/>
      <sz val="14"/>
      <color theme="1"/>
      <name val="AR P丸ゴシック体M"/>
      <family val="3"/>
      <charset val="128"/>
    </font>
    <font>
      <b/>
      <i/>
      <u/>
      <sz val="12"/>
      <color theme="1"/>
      <name val="AR P丸ゴシック体M"/>
      <family val="3"/>
      <charset val="128"/>
    </font>
    <font>
      <b/>
      <sz val="12"/>
      <color theme="1"/>
      <name val="AR P丸ゴシック体M"/>
      <family val="3"/>
      <charset val="128"/>
    </font>
    <font>
      <b/>
      <sz val="11"/>
      <color theme="1"/>
      <name val="AR P丸ゴシック体M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i/>
      <sz val="14"/>
      <color theme="1"/>
      <name val="AR P丸ゴシック体M"/>
      <family val="3"/>
      <charset val="128"/>
    </font>
    <font>
      <b/>
      <sz val="12"/>
      <color indexed="8"/>
      <name val="游ゴシック Light"/>
      <family val="3"/>
      <charset val="128"/>
    </font>
    <font>
      <sz val="12"/>
      <color theme="1"/>
      <name val="游ゴシック Light"/>
      <family val="3"/>
      <charset val="128"/>
    </font>
    <font>
      <sz val="12"/>
      <color indexed="8"/>
      <name val="游ゴシック Light"/>
      <family val="3"/>
      <charset val="128"/>
    </font>
    <font>
      <b/>
      <sz val="11"/>
      <name val="AR P丸ゴシック体M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8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/>
      <top style="thin">
        <color auto="1"/>
      </top>
      <bottom/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auto="1"/>
      </left>
      <right style="medium">
        <color auto="1"/>
      </right>
      <top/>
      <bottom/>
      <diagonal/>
    </border>
  </borders>
  <cellStyleXfs count="36">
    <xf numFmtId="0" fontId="0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45" fillId="0" borderId="0"/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center"/>
    </xf>
    <xf numFmtId="0" fontId="1" fillId="16" borderId="63" applyNumberFormat="0" applyFont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52" fillId="0" borderId="0">
      <alignment vertical="center"/>
    </xf>
    <xf numFmtId="0" fontId="29" fillId="0" borderId="0"/>
    <xf numFmtId="0" fontId="1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29" fillId="0" borderId="0"/>
    <xf numFmtId="0" fontId="69" fillId="0" borderId="0">
      <alignment vertical="center"/>
    </xf>
  </cellStyleXfs>
  <cellXfs count="704">
    <xf numFmtId="0" fontId="0" fillId="0" borderId="0" xfId="0">
      <alignment vertical="center"/>
    </xf>
    <xf numFmtId="0" fontId="1" fillId="0" borderId="0" xfId="21">
      <alignment vertical="center"/>
    </xf>
    <xf numFmtId="0" fontId="1" fillId="0" borderId="0" xfId="21" applyFont="1">
      <alignment vertical="center"/>
    </xf>
    <xf numFmtId="0" fontId="1" fillId="0" borderId="0" xfId="21" applyAlignment="1">
      <alignment vertical="center" shrinkToFit="1"/>
    </xf>
    <xf numFmtId="0" fontId="1" fillId="2" borderId="1" xfId="21" applyFill="1" applyBorder="1" applyAlignment="1" applyProtection="1">
      <alignment horizontal="center" vertical="center" shrinkToFit="1"/>
      <protection hidden="1"/>
    </xf>
    <xf numFmtId="0" fontId="1" fillId="2" borderId="3" xfId="21" applyFill="1" applyBorder="1" applyAlignment="1" applyProtection="1">
      <alignment horizontal="center" vertical="center" shrinkToFit="1"/>
      <protection hidden="1"/>
    </xf>
    <xf numFmtId="0" fontId="1" fillId="2" borderId="4" xfId="21" applyFont="1" applyFill="1" applyBorder="1" applyAlignment="1" applyProtection="1">
      <alignment horizontal="center" vertical="center" shrinkToFit="1"/>
      <protection hidden="1"/>
    </xf>
    <xf numFmtId="0" fontId="1" fillId="2" borderId="3" xfId="21" applyFont="1" applyFill="1" applyBorder="1" applyAlignment="1" applyProtection="1">
      <alignment horizontal="center" vertical="center" shrinkToFit="1"/>
      <protection hidden="1"/>
    </xf>
    <xf numFmtId="0" fontId="1" fillId="2" borderId="5" xfId="21" applyFont="1" applyFill="1" applyBorder="1" applyAlignment="1" applyProtection="1">
      <alignment horizontal="center" vertical="center" shrinkToFit="1"/>
      <protection hidden="1"/>
    </xf>
    <xf numFmtId="0" fontId="1" fillId="0" borderId="6" xfId="0" applyFont="1" applyBorder="1" applyAlignment="1" applyProtection="1">
      <alignment horizontal="center" vertical="center"/>
    </xf>
    <xf numFmtId="0" fontId="1" fillId="0" borderId="6" xfId="21" applyNumberFormat="1" applyFont="1" applyBorder="1" applyAlignment="1" applyProtection="1">
      <alignment horizontal="center" vertical="center" shrinkToFit="1"/>
      <protection hidden="1"/>
    </xf>
    <xf numFmtId="0" fontId="1" fillId="0" borderId="8" xfId="21" applyNumberFormat="1" applyFont="1" applyBorder="1" applyAlignment="1" applyProtection="1">
      <alignment horizontal="center" vertical="center" shrinkToFit="1"/>
      <protection hidden="1"/>
    </xf>
    <xf numFmtId="176" fontId="1" fillId="0" borderId="9" xfId="21" applyNumberFormat="1" applyFont="1" applyBorder="1" applyAlignment="1" applyProtection="1">
      <alignment horizontal="center" vertical="center"/>
      <protection hidden="1"/>
    </xf>
    <xf numFmtId="0" fontId="1" fillId="0" borderId="10" xfId="21" applyNumberFormat="1" applyFont="1" applyBorder="1" applyAlignment="1" applyProtection="1">
      <alignment horizontal="center" vertical="center" shrinkToFit="1"/>
      <protection hidden="1"/>
    </xf>
    <xf numFmtId="0" fontId="1" fillId="0" borderId="11" xfId="21" applyNumberFormat="1" applyFont="1" applyBorder="1" applyAlignment="1" applyProtection="1">
      <alignment horizontal="center" vertical="center" shrinkToFit="1"/>
      <protection hidden="1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21" applyNumberFormat="1" applyFont="1" applyBorder="1" applyAlignment="1" applyProtection="1">
      <alignment horizontal="center" vertical="center" shrinkToFit="1"/>
      <protection hidden="1"/>
    </xf>
    <xf numFmtId="0" fontId="1" fillId="0" borderId="14" xfId="21" applyNumberFormat="1" applyFont="1" applyBorder="1" applyAlignment="1" applyProtection="1">
      <alignment horizontal="center" vertical="center" shrinkToFit="1"/>
      <protection hidden="1"/>
    </xf>
    <xf numFmtId="176" fontId="1" fillId="0" borderId="15" xfId="21" applyNumberFormat="1" applyFont="1" applyBorder="1" applyAlignment="1" applyProtection="1">
      <alignment horizontal="center" vertical="center"/>
      <protection hidden="1"/>
    </xf>
    <xf numFmtId="0" fontId="1" fillId="0" borderId="16" xfId="21" applyNumberFormat="1" applyFont="1" applyBorder="1" applyAlignment="1" applyProtection="1">
      <alignment horizontal="center" vertical="center" shrinkToFit="1"/>
      <protection hidden="1"/>
    </xf>
    <xf numFmtId="0" fontId="1" fillId="0" borderId="7" xfId="0" applyFont="1" applyBorder="1" applyAlignment="1" applyProtection="1">
      <alignment horizontal="center" vertical="center"/>
    </xf>
    <xf numFmtId="0" fontId="1" fillId="0" borderId="17" xfId="21" applyNumberFormat="1" applyFont="1" applyBorder="1" applyAlignment="1" applyProtection="1">
      <alignment horizontal="center" vertical="center" shrinkToFit="1"/>
      <protection hidden="1"/>
    </xf>
    <xf numFmtId="0" fontId="1" fillId="0" borderId="18" xfId="21" applyNumberFormat="1" applyFont="1" applyBorder="1" applyAlignment="1" applyProtection="1">
      <alignment horizontal="center" vertical="center" shrinkToFit="1"/>
      <protection hidden="1"/>
    </xf>
    <xf numFmtId="0" fontId="1" fillId="0" borderId="19" xfId="21" applyNumberFormat="1" applyFont="1" applyBorder="1" applyAlignment="1" applyProtection="1">
      <alignment horizontal="center" vertical="center" shrinkToFit="1"/>
      <protection hidden="1"/>
    </xf>
    <xf numFmtId="0" fontId="1" fillId="0" borderId="20" xfId="21" applyBorder="1">
      <alignment vertical="center"/>
    </xf>
    <xf numFmtId="0" fontId="1" fillId="2" borderId="2" xfId="21" applyFont="1" applyFill="1" applyBorder="1" applyAlignment="1" applyProtection="1">
      <alignment horizontal="center" vertical="center" shrinkToFit="1"/>
      <protection hidden="1"/>
    </xf>
    <xf numFmtId="0" fontId="1" fillId="2" borderId="20" xfId="21" applyFill="1" applyBorder="1" applyAlignment="1" applyProtection="1">
      <alignment horizontal="center" vertical="center" shrinkToFit="1"/>
      <protection hidden="1"/>
    </xf>
    <xf numFmtId="0" fontId="3" fillId="0" borderId="0" xfId="21" applyFont="1" applyAlignment="1">
      <alignment horizontal="center" vertical="center" shrinkToFit="1"/>
    </xf>
    <xf numFmtId="176" fontId="1" fillId="0" borderId="21" xfId="21" applyNumberFormat="1" applyFont="1" applyBorder="1" applyAlignment="1" applyProtection="1">
      <alignment horizontal="center" vertical="center" shrinkToFit="1"/>
      <protection hidden="1"/>
    </xf>
    <xf numFmtId="0" fontId="1" fillId="0" borderId="7" xfId="21" applyFill="1" applyBorder="1" applyAlignment="1" applyProtection="1">
      <alignment horizontal="center" vertical="center"/>
      <protection hidden="1"/>
    </xf>
    <xf numFmtId="49" fontId="2" fillId="0" borderId="22" xfId="21" applyNumberFormat="1" applyFont="1" applyBorder="1" applyAlignment="1">
      <alignment horizontal="center" vertical="center" textRotation="255" wrapText="1"/>
    </xf>
    <xf numFmtId="0" fontId="1" fillId="0" borderId="12" xfId="21" applyFill="1" applyBorder="1" applyAlignment="1" applyProtection="1">
      <alignment horizontal="center" vertical="center"/>
      <protection hidden="1"/>
    </xf>
    <xf numFmtId="0" fontId="0" fillId="0" borderId="22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49" fontId="1" fillId="0" borderId="0" xfId="21" applyNumberFormat="1" applyBorder="1" applyAlignment="1">
      <alignment horizontal="center" vertical="center" wrapText="1"/>
    </xf>
    <xf numFmtId="49" fontId="1" fillId="0" borderId="22" xfId="21" applyNumberFormat="1" applyBorder="1" applyAlignment="1">
      <alignment horizontal="center" vertical="center" wrapText="1"/>
    </xf>
    <xf numFmtId="0" fontId="1" fillId="0" borderId="0" xfId="21" applyBorder="1">
      <alignment vertical="center"/>
    </xf>
    <xf numFmtId="0" fontId="7" fillId="0" borderId="0" xfId="21" applyFont="1" applyFill="1" applyAlignment="1" applyProtection="1">
      <alignment vertical="center" shrinkToFit="1"/>
      <protection hidden="1"/>
    </xf>
    <xf numFmtId="0" fontId="0" fillId="0" borderId="0" xfId="0" applyAlignment="1" applyProtection="1">
      <alignment horizontal="center" vertical="center"/>
    </xf>
    <xf numFmtId="0" fontId="0" fillId="0" borderId="0" xfId="0" applyProtection="1">
      <alignment vertical="center"/>
    </xf>
    <xf numFmtId="0" fontId="1" fillId="0" borderId="7" xfId="21" applyNumberFormat="1" applyFont="1" applyBorder="1" applyAlignment="1" applyProtection="1">
      <alignment horizontal="center" vertical="center" shrinkToFit="1"/>
    </xf>
    <xf numFmtId="0" fontId="1" fillId="0" borderId="7" xfId="0" applyFont="1" applyBorder="1" applyProtection="1">
      <alignment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20" xfId="21" applyNumberFormat="1" applyFont="1" applyBorder="1" applyAlignment="1" applyProtection="1">
      <alignment horizontal="center" vertical="center" shrinkToFit="1"/>
    </xf>
    <xf numFmtId="0" fontId="1" fillId="0" borderId="37" xfId="21" applyNumberFormat="1" applyFont="1" applyBorder="1" applyAlignment="1" applyProtection="1">
      <alignment horizontal="center" vertical="center" shrinkToFit="1"/>
    </xf>
    <xf numFmtId="0" fontId="1" fillId="0" borderId="20" xfId="0" applyFont="1" applyBorder="1" applyProtection="1">
      <alignment vertical="center"/>
    </xf>
    <xf numFmtId="0" fontId="1" fillId="0" borderId="38" xfId="0" applyFont="1" applyBorder="1" applyAlignment="1" applyProtection="1">
      <alignment horizontal="center" vertical="center"/>
    </xf>
    <xf numFmtId="0" fontId="1" fillId="0" borderId="38" xfId="21" applyNumberFormat="1" applyFont="1" applyBorder="1" applyAlignment="1" applyProtection="1">
      <alignment horizontal="center" vertical="center" shrinkToFit="1"/>
    </xf>
    <xf numFmtId="0" fontId="1" fillId="0" borderId="38" xfId="0" applyFont="1" applyBorder="1" applyProtection="1">
      <alignment vertical="center"/>
    </xf>
    <xf numFmtId="0" fontId="1" fillId="0" borderId="39" xfId="0" applyFont="1" applyBorder="1" applyProtection="1">
      <alignment vertical="center"/>
    </xf>
    <xf numFmtId="0" fontId="1" fillId="0" borderId="12" xfId="0" applyFont="1" applyBorder="1" applyProtection="1">
      <alignment vertical="center"/>
    </xf>
    <xf numFmtId="0" fontId="1" fillId="0" borderId="36" xfId="0" applyFont="1" applyBorder="1" applyProtection="1">
      <alignment vertical="center"/>
    </xf>
    <xf numFmtId="0" fontId="1" fillId="0" borderId="37" xfId="0" applyFont="1" applyBorder="1" applyAlignment="1" applyProtection="1">
      <alignment horizontal="center" vertical="center"/>
    </xf>
    <xf numFmtId="0" fontId="1" fillId="0" borderId="37" xfId="0" applyFont="1" applyBorder="1" applyProtection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shrinkToFit="1"/>
    </xf>
    <xf numFmtId="20" fontId="16" fillId="0" borderId="0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 shrinkToFit="1"/>
    </xf>
    <xf numFmtId="177" fontId="17" fillId="0" borderId="0" xfId="0" applyNumberFormat="1" applyFont="1" applyBorder="1" applyAlignment="1">
      <alignment vertical="center"/>
    </xf>
    <xf numFmtId="0" fontId="18" fillId="0" borderId="46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3" fillId="0" borderId="46" xfId="0" applyFont="1" applyFill="1" applyBorder="1" applyAlignment="1">
      <alignment horizontal="center" vertical="center" shrinkToFit="1"/>
    </xf>
    <xf numFmtId="177" fontId="17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horizontal="center" vertical="center" shrinkToFit="1"/>
    </xf>
    <xf numFmtId="49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shrinkToFit="1"/>
    </xf>
    <xf numFmtId="178" fontId="13" fillId="0" borderId="0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178" fontId="13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178" fontId="13" fillId="0" borderId="0" xfId="0" applyNumberFormat="1" applyFont="1" applyBorder="1" applyAlignment="1">
      <alignment horizontal="center" vertical="center" shrinkToFit="1"/>
    </xf>
    <xf numFmtId="0" fontId="13" fillId="0" borderId="0" xfId="0" applyFont="1" applyFill="1" applyBorder="1" applyAlignment="1">
      <alignment vertical="center" textRotation="255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20" fontId="1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3" fillId="0" borderId="0" xfId="0" applyFont="1" applyBorder="1" applyAlignment="1">
      <alignment vertical="center" textRotation="255" shrinkToFit="1"/>
    </xf>
    <xf numFmtId="0" fontId="16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shrinkToFit="1"/>
    </xf>
    <xf numFmtId="49" fontId="31" fillId="0" borderId="22" xfId="21" applyNumberFormat="1" applyFont="1" applyFill="1" applyBorder="1" applyAlignment="1">
      <alignment horizontal="center" vertical="center" shrinkToFit="1"/>
    </xf>
    <xf numFmtId="49" fontId="29" fillId="0" borderId="22" xfId="21" applyNumberFormat="1" applyFont="1" applyBorder="1" applyAlignment="1">
      <alignment horizontal="center" vertical="center" shrinkToFit="1"/>
    </xf>
    <xf numFmtId="49" fontId="29" fillId="0" borderId="49" xfId="21" applyNumberFormat="1" applyFont="1" applyBorder="1" applyAlignment="1">
      <alignment horizontal="center" vertical="center" shrinkToFit="1"/>
    </xf>
    <xf numFmtId="49" fontId="29" fillId="0" borderId="0" xfId="21" applyNumberFormat="1" applyFont="1" applyBorder="1" applyAlignment="1">
      <alignment horizontal="center" vertical="center" shrinkToFit="1"/>
    </xf>
    <xf numFmtId="49" fontId="31" fillId="0" borderId="13" xfId="21" applyNumberFormat="1" applyFont="1" applyFill="1" applyBorder="1" applyAlignment="1">
      <alignment horizontal="center" vertical="center" shrinkToFit="1"/>
    </xf>
    <xf numFmtId="49" fontId="29" fillId="0" borderId="13" xfId="21" applyNumberFormat="1" applyFont="1" applyBorder="1" applyAlignment="1">
      <alignment horizontal="center" vertical="center" shrinkToFit="1"/>
    </xf>
    <xf numFmtId="49" fontId="29" fillId="0" borderId="15" xfId="21" applyNumberFormat="1" applyFont="1" applyBorder="1" applyAlignment="1">
      <alignment horizontal="center" vertical="center" shrinkToFit="1"/>
    </xf>
    <xf numFmtId="49" fontId="29" fillId="0" borderId="23" xfId="21" applyNumberFormat="1" applyFont="1" applyBorder="1" applyAlignment="1">
      <alignment horizontal="center" vertical="center" shrinkToFit="1"/>
    </xf>
    <xf numFmtId="49" fontId="29" fillId="7" borderId="0" xfId="21" applyNumberFormat="1" applyFont="1" applyFill="1">
      <alignment vertical="center"/>
    </xf>
    <xf numFmtId="0" fontId="29" fillId="0" borderId="0" xfId="34" applyBorder="1"/>
    <xf numFmtId="0" fontId="29" fillId="0" borderId="0" xfId="34" applyAlignment="1">
      <alignment horizontal="center"/>
    </xf>
    <xf numFmtId="0" fontId="29" fillId="0" borderId="0" xfId="34"/>
    <xf numFmtId="0" fontId="29" fillId="0" borderId="36" xfId="34" applyBorder="1" applyAlignment="1">
      <alignment horizontal="center"/>
    </xf>
    <xf numFmtId="0" fontId="29" fillId="0" borderId="12" xfId="34" applyBorder="1" applyAlignment="1">
      <alignment horizontal="center"/>
    </xf>
    <xf numFmtId="49" fontId="36" fillId="0" borderId="12" xfId="34" applyNumberFormat="1" applyFont="1" applyBorder="1" applyAlignment="1">
      <alignment horizontal="left" vertical="center" wrapText="1" shrinkToFit="1"/>
    </xf>
    <xf numFmtId="49" fontId="36" fillId="0" borderId="12" xfId="34" applyNumberFormat="1" applyFont="1" applyBorder="1" applyAlignment="1">
      <alignment horizontal="left" vertical="center" shrinkToFit="1"/>
    </xf>
    <xf numFmtId="0" fontId="36" fillId="0" borderId="0" xfId="34" applyFont="1"/>
    <xf numFmtId="0" fontId="13" fillId="0" borderId="46" xfId="0" quotePrefix="1" applyFont="1" applyFill="1" applyBorder="1" applyAlignment="1">
      <alignment horizontal="center" vertical="center" shrinkToFit="1"/>
    </xf>
    <xf numFmtId="0" fontId="18" fillId="0" borderId="46" xfId="0" quotePrefix="1" applyFont="1" applyFill="1" applyBorder="1" applyAlignment="1">
      <alignment horizontal="center" vertical="center" shrinkToFit="1"/>
    </xf>
    <xf numFmtId="0" fontId="1" fillId="0" borderId="12" xfId="21" quotePrefix="1" applyBorder="1">
      <alignment vertical="center"/>
    </xf>
    <xf numFmtId="49" fontId="1" fillId="0" borderId="12" xfId="21" applyNumberForma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" fillId="0" borderId="7" xfId="21" applyNumberFormat="1" applyFont="1" applyBorder="1" applyAlignment="1" applyProtection="1">
      <alignment horizontal="center" vertical="center"/>
      <protection hidden="1"/>
    </xf>
    <xf numFmtId="0" fontId="1" fillId="0" borderId="12" xfId="21" applyNumberFormat="1" applyFont="1" applyBorder="1" applyAlignment="1" applyProtection="1">
      <alignment horizontal="center" vertical="center"/>
      <protection hidden="1"/>
    </xf>
    <xf numFmtId="0" fontId="55" fillId="0" borderId="0" xfId="0" applyFont="1" applyFill="1" applyBorder="1" applyAlignment="1">
      <alignment horizontal="center" vertical="center" shrinkToFit="1"/>
    </xf>
    <xf numFmtId="0" fontId="56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49" fontId="36" fillId="0" borderId="65" xfId="34" applyNumberFormat="1" applyFont="1" applyBorder="1" applyAlignment="1">
      <alignment horizontal="center" vertical="center" shrinkToFit="1"/>
    </xf>
    <xf numFmtId="0" fontId="29" fillId="0" borderId="64" xfId="34" applyBorder="1" applyAlignment="1">
      <alignment horizontal="center"/>
    </xf>
    <xf numFmtId="49" fontId="29" fillId="0" borderId="65" xfId="21" applyNumberFormat="1" applyFont="1" applyFill="1" applyBorder="1" applyAlignment="1">
      <alignment horizontal="center" vertical="center" shrinkToFit="1"/>
    </xf>
    <xf numFmtId="49" fontId="29" fillId="0" borderId="69" xfId="21" applyNumberFormat="1" applyFont="1" applyFill="1" applyBorder="1" applyAlignment="1">
      <alignment horizontal="left" vertical="center" shrinkToFit="1"/>
    </xf>
    <xf numFmtId="49" fontId="31" fillId="0" borderId="69" xfId="21" applyNumberFormat="1" applyFont="1" applyFill="1" applyBorder="1" applyAlignment="1">
      <alignment horizontal="center" vertical="center" shrinkToFit="1"/>
    </xf>
    <xf numFmtId="49" fontId="29" fillId="0" borderId="69" xfId="21" applyNumberFormat="1" applyFont="1" applyBorder="1" applyAlignment="1">
      <alignment horizontal="center" vertical="center" shrinkToFit="1"/>
    </xf>
    <xf numFmtId="49" fontId="29" fillId="0" borderId="70" xfId="21" applyNumberFormat="1" applyFont="1" applyBorder="1" applyAlignment="1">
      <alignment horizontal="center" vertical="center" shrinkToFit="1"/>
    </xf>
    <xf numFmtId="49" fontId="59" fillId="0" borderId="65" xfId="34" applyNumberFormat="1" applyFont="1" applyBorder="1" applyAlignment="1">
      <alignment horizontal="center" vertical="center"/>
    </xf>
    <xf numFmtId="49" fontId="59" fillId="0" borderId="64" xfId="34" applyNumberFormat="1" applyFont="1" applyBorder="1" applyAlignment="1">
      <alignment horizontal="center" vertical="center"/>
    </xf>
    <xf numFmtId="49" fontId="36" fillId="0" borderId="64" xfId="34" applyNumberFormat="1" applyFont="1" applyBorder="1" applyAlignment="1">
      <alignment horizontal="center" vertical="center" shrinkToFit="1"/>
    </xf>
    <xf numFmtId="49" fontId="26" fillId="7" borderId="0" xfId="21" applyNumberFormat="1" applyFont="1" applyFill="1" applyAlignment="1">
      <alignment horizontal="center" vertical="center"/>
    </xf>
    <xf numFmtId="0" fontId="7" fillId="0" borderId="4" xfId="21" applyFont="1" applyFill="1" applyBorder="1" applyAlignment="1" applyProtection="1">
      <alignment horizontal="center" vertical="center" shrinkToFit="1"/>
      <protection hidden="1"/>
    </xf>
    <xf numFmtId="0" fontId="7" fillId="0" borderId="15" xfId="21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>
      <alignment horizontal="left" vertical="center"/>
    </xf>
    <xf numFmtId="0" fontId="1" fillId="0" borderId="0" xfId="21" applyAlignment="1">
      <alignment horizontal="center" vertical="center"/>
    </xf>
    <xf numFmtId="0" fontId="1" fillId="0" borderId="65" xfId="0" applyFont="1" applyFill="1" applyBorder="1" applyAlignment="1" applyProtection="1">
      <alignment horizontal="center" vertical="center"/>
    </xf>
    <xf numFmtId="49" fontId="44" fillId="0" borderId="22" xfId="34" applyNumberFormat="1" applyFont="1" applyBorder="1" applyAlignment="1">
      <alignment horizontal="center" vertical="center" shrinkToFit="1"/>
    </xf>
    <xf numFmtId="0" fontId="63" fillId="0" borderId="49" xfId="0" applyFont="1" applyBorder="1" applyAlignment="1">
      <alignment horizontal="center" vertical="center" shrinkToFit="1"/>
    </xf>
    <xf numFmtId="0" fontId="29" fillId="0" borderId="15" xfId="34" applyBorder="1" applyAlignment="1">
      <alignment horizontal="center" shrinkToFit="1"/>
    </xf>
    <xf numFmtId="49" fontId="35" fillId="0" borderId="68" xfId="34" applyNumberFormat="1" applyFont="1" applyBorder="1" applyAlignment="1">
      <alignment horizontal="center" vertical="center" shrinkToFit="1"/>
    </xf>
    <xf numFmtId="49" fontId="36" fillId="0" borderId="68" xfId="34" applyNumberFormat="1" applyFont="1" applyBorder="1" applyAlignment="1">
      <alignment horizontal="center" vertical="center" shrinkToFit="1"/>
    </xf>
    <xf numFmtId="0" fontId="29" fillId="0" borderId="0" xfId="34" applyAlignment="1">
      <alignment shrinkToFit="1"/>
    </xf>
    <xf numFmtId="49" fontId="40" fillId="0" borderId="22" xfId="34" applyNumberFormat="1" applyFont="1" applyBorder="1" applyAlignment="1">
      <alignment horizontal="center" vertical="center" shrinkToFit="1"/>
    </xf>
    <xf numFmtId="0" fontId="55" fillId="0" borderId="0" xfId="0" applyFont="1" applyAlignment="1">
      <alignment horizontal="center" vertical="center" shrinkToFit="1"/>
    </xf>
    <xf numFmtId="0" fontId="55" fillId="0" borderId="49" xfId="0" applyFont="1" applyBorder="1" applyAlignment="1">
      <alignment horizontal="center" vertical="center" shrinkToFit="1"/>
    </xf>
    <xf numFmtId="49" fontId="36" fillId="0" borderId="36" xfId="34" applyNumberFormat="1" applyFont="1" applyBorder="1" applyAlignment="1">
      <alignment horizontal="center" vertical="center" shrinkToFit="1"/>
    </xf>
    <xf numFmtId="49" fontId="36" fillId="0" borderId="12" xfId="34" applyNumberFormat="1" applyFont="1" applyBorder="1" applyAlignment="1">
      <alignment horizontal="center" vertical="center" shrinkToFit="1"/>
    </xf>
    <xf numFmtId="49" fontId="29" fillId="0" borderId="65" xfId="21" applyNumberFormat="1" applyFont="1" applyBorder="1" applyAlignment="1">
      <alignment horizontal="center" vertical="center" shrinkToFit="1"/>
    </xf>
    <xf numFmtId="49" fontId="29" fillId="0" borderId="69" xfId="21" applyNumberFormat="1" applyFont="1" applyBorder="1" applyAlignment="1">
      <alignment horizontal="left" vertical="center" shrinkToFit="1"/>
    </xf>
    <xf numFmtId="49" fontId="31" fillId="0" borderId="69" xfId="21" applyNumberFormat="1" applyFont="1" applyBorder="1" applyAlignment="1">
      <alignment horizontal="center" vertical="center" shrinkToFit="1"/>
    </xf>
    <xf numFmtId="49" fontId="29" fillId="0" borderId="4" xfId="21" applyNumberFormat="1" applyFont="1" applyBorder="1" applyAlignment="1">
      <alignment horizontal="center" vertical="center" shrinkToFit="1"/>
    </xf>
    <xf numFmtId="49" fontId="31" fillId="0" borderId="22" xfId="21" applyNumberFormat="1" applyFont="1" applyBorder="1" applyAlignment="1">
      <alignment horizontal="center" vertical="center" shrinkToFit="1"/>
    </xf>
    <xf numFmtId="49" fontId="29" fillId="0" borderId="0" xfId="21" applyNumberFormat="1" applyFont="1" applyAlignment="1">
      <alignment horizontal="center" vertical="center" shrinkToFit="1"/>
    </xf>
    <xf numFmtId="49" fontId="31" fillId="0" borderId="13" xfId="21" applyNumberFormat="1" applyFont="1" applyBorder="1" applyAlignment="1">
      <alignment horizontal="center" vertical="center" shrinkToFit="1"/>
    </xf>
    <xf numFmtId="49" fontId="29" fillId="0" borderId="0" xfId="21" applyNumberFormat="1" applyFont="1" applyAlignment="1">
      <alignment vertical="center" shrinkToFit="1"/>
    </xf>
    <xf numFmtId="49" fontId="29" fillId="0" borderId="0" xfId="21" applyNumberFormat="1" applyFont="1">
      <alignment vertical="center"/>
    </xf>
    <xf numFmtId="49" fontId="29" fillId="0" borderId="65" xfId="21" applyNumberFormat="1" applyFont="1" applyBorder="1" applyAlignment="1">
      <alignment horizontal="left" vertical="center" shrinkToFit="1"/>
    </xf>
    <xf numFmtId="49" fontId="72" fillId="0" borderId="49" xfId="21" applyNumberFormat="1" applyFont="1" applyBorder="1" applyAlignment="1">
      <alignment horizontal="center" vertical="center" shrinkToFit="1"/>
    </xf>
    <xf numFmtId="49" fontId="72" fillId="0" borderId="69" xfId="21" applyNumberFormat="1" applyFont="1" applyBorder="1" applyAlignment="1">
      <alignment horizontal="center" vertical="center" shrinkToFit="1"/>
    </xf>
    <xf numFmtId="49" fontId="72" fillId="0" borderId="22" xfId="21" applyNumberFormat="1" applyFont="1" applyBorder="1" applyAlignment="1">
      <alignment horizontal="center" vertical="center" shrinkToFit="1"/>
    </xf>
    <xf numFmtId="49" fontId="31" fillId="0" borderId="0" xfId="21" applyNumberFormat="1" applyFont="1" applyAlignment="1">
      <alignment horizontal="center" vertical="center" shrinkToFit="1"/>
    </xf>
    <xf numFmtId="0" fontId="29" fillId="0" borderId="0" xfId="21" applyFont="1" applyAlignment="1">
      <alignment horizontal="center" vertical="center" shrinkToFit="1"/>
    </xf>
    <xf numFmtId="49" fontId="31" fillId="0" borderId="0" xfId="21" applyNumberFormat="1" applyFont="1" applyAlignment="1">
      <alignment horizontal="center" vertical="center"/>
    </xf>
    <xf numFmtId="0" fontId="29" fillId="0" borderId="0" xfId="21" applyFont="1" applyAlignment="1">
      <alignment horizontal="center" vertical="center"/>
    </xf>
    <xf numFmtId="49" fontId="29" fillId="0" borderId="68" xfId="21" applyNumberFormat="1" applyFont="1" applyBorder="1" applyAlignment="1">
      <alignment vertical="center" shrinkToFit="1"/>
    </xf>
    <xf numFmtId="0" fontId="30" fillId="0" borderId="0" xfId="21" applyFont="1">
      <alignment vertical="center"/>
    </xf>
    <xf numFmtId="0" fontId="29" fillId="0" borderId="22" xfId="21" applyFont="1" applyBorder="1" applyAlignment="1">
      <alignment horizontal="center" vertical="center"/>
    </xf>
    <xf numFmtId="0" fontId="63" fillId="0" borderId="0" xfId="0" applyFont="1">
      <alignment vertical="center"/>
    </xf>
    <xf numFmtId="177" fontId="76" fillId="0" borderId="0" xfId="0" applyNumberFormat="1" applyFont="1">
      <alignment vertical="center"/>
    </xf>
    <xf numFmtId="0" fontId="75" fillId="0" borderId="0" xfId="0" applyFont="1" applyAlignment="1">
      <alignment vertical="center" textRotation="255" shrinkToFit="1"/>
    </xf>
    <xf numFmtId="0" fontId="77" fillId="0" borderId="0" xfId="0" applyFont="1">
      <alignment vertical="center"/>
    </xf>
    <xf numFmtId="49" fontId="63" fillId="0" borderId="0" xfId="0" applyNumberFormat="1" applyFont="1">
      <alignment vertical="center"/>
    </xf>
    <xf numFmtId="0" fontId="77" fillId="0" borderId="0" xfId="0" applyFont="1" applyAlignment="1">
      <alignment horizontal="center" vertical="center" shrinkToFit="1"/>
    </xf>
    <xf numFmtId="20" fontId="77" fillId="0" borderId="0" xfId="0" applyNumberFormat="1" applyFont="1" applyAlignment="1">
      <alignment horizontal="center" vertical="center" shrinkToFit="1"/>
    </xf>
    <xf numFmtId="0" fontId="75" fillId="0" borderId="0" xfId="0" applyFont="1" applyAlignment="1">
      <alignment horizontal="center" vertical="center" shrinkToFit="1"/>
    </xf>
    <xf numFmtId="0" fontId="63" fillId="0" borderId="0" xfId="0" applyFont="1" applyAlignment="1">
      <alignment vertical="center" shrinkToFit="1"/>
    </xf>
    <xf numFmtId="0" fontId="63" fillId="0" borderId="0" xfId="0" quotePrefix="1" applyFont="1" applyAlignment="1">
      <alignment horizontal="center" vertical="center" shrinkToFit="1"/>
    </xf>
    <xf numFmtId="0" fontId="8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75" fillId="0" borderId="0" xfId="0" applyNumberFormat="1" applyFont="1" applyAlignment="1">
      <alignment horizontal="center" vertical="center"/>
    </xf>
    <xf numFmtId="178" fontId="75" fillId="0" borderId="0" xfId="0" applyNumberFormat="1" applyFont="1" applyAlignment="1">
      <alignment horizontal="center" vertical="center" shrinkToFit="1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78" fillId="0" borderId="0" xfId="0" applyFont="1" applyAlignment="1">
      <alignment vertical="center" shrinkToFit="1"/>
    </xf>
    <xf numFmtId="0" fontId="78" fillId="0" borderId="0" xfId="0" applyFont="1" applyAlignment="1">
      <alignment horizontal="center" vertical="center" shrinkToFit="1"/>
    </xf>
    <xf numFmtId="0" fontId="78" fillId="0" borderId="0" xfId="0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75" fillId="0" borderId="0" xfId="0" quotePrefix="1" applyFont="1" applyAlignment="1">
      <alignment horizontal="center" vertical="center" shrinkToFit="1"/>
    </xf>
    <xf numFmtId="0" fontId="63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63" fillId="0" borderId="0" xfId="0" applyFont="1" applyAlignment="1">
      <alignment horizontal="left" vertical="center" shrinkToFit="1"/>
    </xf>
    <xf numFmtId="0" fontId="14" fillId="0" borderId="65" xfId="0" applyFont="1" applyFill="1" applyBorder="1" applyAlignment="1">
      <alignment vertical="center" shrinkToFit="1"/>
    </xf>
    <xf numFmtId="0" fontId="16" fillId="0" borderId="65" xfId="4" applyFont="1" applyFill="1" applyBorder="1" applyAlignment="1" applyProtection="1">
      <alignment horizontal="center" vertical="center"/>
      <protection locked="0"/>
    </xf>
    <xf numFmtId="0" fontId="16" fillId="0" borderId="65" xfId="4" applyFont="1" applyFill="1" applyBorder="1" applyAlignment="1">
      <alignment horizontal="center" vertical="center"/>
    </xf>
    <xf numFmtId="0" fontId="16" fillId="0" borderId="65" xfId="4" applyFont="1" applyFill="1" applyBorder="1" applyAlignment="1" applyProtection="1">
      <alignment horizontal="center" vertical="center" shrinkToFit="1"/>
      <protection locked="0"/>
    </xf>
    <xf numFmtId="0" fontId="16" fillId="0" borderId="65" xfId="4" applyFont="1" applyFill="1" applyBorder="1" applyAlignment="1">
      <alignment horizontal="center" vertical="center" shrinkToFit="1"/>
    </xf>
    <xf numFmtId="0" fontId="16" fillId="0" borderId="65" xfId="0" applyFont="1" applyFill="1" applyBorder="1" applyAlignment="1">
      <alignment horizontal="center" vertical="center"/>
    </xf>
    <xf numFmtId="0" fontId="81" fillId="0" borderId="65" xfId="4" applyFont="1" applyFill="1" applyBorder="1" applyAlignment="1" applyProtection="1">
      <alignment horizontal="center" vertical="center"/>
      <protection locked="0"/>
    </xf>
    <xf numFmtId="0" fontId="81" fillId="0" borderId="65" xfId="4" applyFont="1" applyFill="1" applyBorder="1" applyAlignment="1">
      <alignment horizontal="center" vertical="center"/>
    </xf>
    <xf numFmtId="0" fontId="16" fillId="0" borderId="65" xfId="0" quotePrefix="1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 shrinkToFit="1"/>
    </xf>
    <xf numFmtId="0" fontId="13" fillId="0" borderId="50" xfId="0" quotePrefix="1" applyFont="1" applyFill="1" applyBorder="1" applyAlignment="1">
      <alignment horizontal="center" vertical="center" shrinkToFit="1"/>
    </xf>
    <xf numFmtId="0" fontId="56" fillId="0" borderId="0" xfId="0" applyFont="1" applyFill="1" applyBorder="1" applyAlignment="1">
      <alignment horizontal="center" vertical="center" shrinkToFit="1"/>
    </xf>
    <xf numFmtId="0" fontId="18" fillId="0" borderId="50" xfId="0" applyFont="1" applyFill="1" applyBorder="1" applyAlignment="1">
      <alignment horizontal="center" vertical="center" shrinkToFit="1"/>
    </xf>
    <xf numFmtId="0" fontId="18" fillId="0" borderId="50" xfId="0" quotePrefix="1" applyFont="1" applyFill="1" applyBorder="1" applyAlignment="1">
      <alignment horizontal="center" vertical="center" shrinkToFit="1"/>
    </xf>
    <xf numFmtId="0" fontId="61" fillId="0" borderId="65" xfId="0" applyFont="1" applyFill="1" applyBorder="1" applyAlignment="1">
      <alignment horizontal="center" vertical="center" shrinkToFit="1"/>
    </xf>
    <xf numFmtId="0" fontId="61" fillId="0" borderId="65" xfId="0" quotePrefix="1" applyFont="1" applyFill="1" applyBorder="1" applyAlignment="1">
      <alignment horizontal="center" vertical="center" shrinkToFit="1"/>
    </xf>
    <xf numFmtId="0" fontId="16" fillId="0" borderId="65" xfId="0" applyFont="1" applyFill="1" applyBorder="1" applyAlignment="1">
      <alignment horizontal="center" vertical="center" shrinkToFit="1"/>
    </xf>
    <xf numFmtId="0" fontId="16" fillId="0" borderId="65" xfId="0" quotePrefix="1" applyFont="1" applyFill="1" applyBorder="1" applyAlignment="1">
      <alignment horizontal="center" vertical="center" shrinkToFit="1"/>
    </xf>
    <xf numFmtId="0" fontId="7" fillId="0" borderId="9" xfId="21" applyFont="1" applyFill="1" applyBorder="1" applyAlignment="1" applyProtection="1">
      <alignment horizontal="center" vertical="center" shrinkToFit="1"/>
      <protection hidden="1"/>
    </xf>
    <xf numFmtId="0" fontId="52" fillId="0" borderId="0" xfId="29" applyFill="1" applyAlignment="1" applyProtection="1">
      <alignment vertical="center" shrinkToFit="1"/>
      <protection hidden="1"/>
    </xf>
    <xf numFmtId="0" fontId="2" fillId="0" borderId="0" xfId="21" applyFont="1" applyFill="1" applyAlignment="1" applyProtection="1">
      <alignment vertical="center" shrinkToFit="1"/>
      <protection hidden="1"/>
    </xf>
    <xf numFmtId="0" fontId="5" fillId="0" borderId="0" xfId="29" applyFont="1" applyFill="1" applyAlignment="1" applyProtection="1">
      <alignment vertical="center" shrinkToFit="1"/>
      <protection hidden="1"/>
    </xf>
    <xf numFmtId="0" fontId="5" fillId="0" borderId="0" xfId="21" applyFont="1" applyFill="1" applyAlignment="1" applyProtection="1">
      <alignment horizontal="center" vertical="center" shrinkToFit="1"/>
      <protection hidden="1"/>
    </xf>
    <xf numFmtId="0" fontId="7" fillId="0" borderId="78" xfId="21" applyFont="1" applyFill="1" applyBorder="1" applyAlignment="1" applyProtection="1">
      <alignment horizontal="center" vertical="center" shrinkToFit="1"/>
      <protection hidden="1"/>
    </xf>
    <xf numFmtId="0" fontId="7" fillId="0" borderId="67" xfId="21" applyFont="1" applyFill="1" applyBorder="1" applyAlignment="1" applyProtection="1">
      <alignment horizontal="center" vertical="center" shrinkToFit="1"/>
      <protection hidden="1"/>
    </xf>
    <xf numFmtId="0" fontId="8" fillId="0" borderId="65" xfId="29" applyFont="1" applyFill="1" applyBorder="1" applyAlignment="1" applyProtection="1">
      <alignment horizontal="center" vertical="center" shrinkToFit="1"/>
      <protection hidden="1"/>
    </xf>
    <xf numFmtId="0" fontId="8" fillId="0" borderId="65" xfId="21" applyFont="1" applyFill="1" applyBorder="1" applyAlignment="1" applyProtection="1">
      <alignment horizontal="center" vertical="center" shrinkToFit="1"/>
      <protection hidden="1"/>
    </xf>
    <xf numFmtId="0" fontId="5" fillId="0" borderId="0" xfId="21" applyFont="1" applyFill="1" applyBorder="1" applyAlignment="1" applyProtection="1">
      <alignment horizontal="center" vertical="center" shrinkToFit="1"/>
      <protection hidden="1"/>
    </xf>
    <xf numFmtId="0" fontId="5" fillId="0" borderId="0" xfId="29" applyFont="1" applyFill="1" applyBorder="1" applyAlignment="1" applyProtection="1">
      <alignment horizontal="center" vertical="center" shrinkToFit="1"/>
      <protection hidden="1"/>
    </xf>
    <xf numFmtId="0" fontId="7" fillId="0" borderId="1" xfId="21" applyFont="1" applyFill="1" applyBorder="1" applyAlignment="1" applyProtection="1">
      <alignment horizontal="center" vertical="center" shrinkToFit="1"/>
      <protection hidden="1"/>
    </xf>
    <xf numFmtId="0" fontId="7" fillId="0" borderId="0" xfId="21" applyFont="1" applyFill="1" applyBorder="1" applyAlignment="1" applyProtection="1">
      <alignment horizontal="center" vertical="center" shrinkToFit="1"/>
      <protection hidden="1"/>
    </xf>
    <xf numFmtId="0" fontId="8" fillId="0" borderId="0" xfId="29" applyFont="1" applyFill="1" applyBorder="1" applyAlignment="1" applyProtection="1">
      <alignment horizontal="center" vertical="center" shrinkToFit="1"/>
      <protection hidden="1"/>
    </xf>
    <xf numFmtId="0" fontId="8" fillId="0" borderId="0" xfId="21" applyFont="1" applyFill="1" applyAlignment="1" applyProtection="1">
      <alignment horizontal="center" vertical="center" shrinkToFit="1"/>
      <protection hidden="1"/>
    </xf>
    <xf numFmtId="0" fontId="8" fillId="0" borderId="0" xfId="29" applyFont="1" applyFill="1" applyAlignment="1" applyProtection="1">
      <alignment vertical="center" shrinkToFit="1"/>
      <protection hidden="1"/>
    </xf>
    <xf numFmtId="0" fontId="10" fillId="0" borderId="0" xfId="24" applyFill="1" applyAlignment="1" applyProtection="1">
      <alignment vertical="center" shrinkToFit="1"/>
      <protection hidden="1"/>
    </xf>
    <xf numFmtId="0" fontId="2" fillId="0" borderId="0" xfId="21" applyFont="1" applyFill="1" applyAlignment="1" applyProtection="1">
      <alignment horizontal="center" vertical="center" shrinkToFit="1"/>
      <protection hidden="1"/>
    </xf>
    <xf numFmtId="49" fontId="40" fillId="0" borderId="66" xfId="34" applyNumberFormat="1" applyFont="1" applyBorder="1" applyAlignment="1">
      <alignment horizontal="center" vertical="center"/>
    </xf>
    <xf numFmtId="0" fontId="29" fillId="0" borderId="64" xfId="34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2" xfId="0" applyBorder="1" applyAlignment="1">
      <alignment horizontal="center"/>
    </xf>
    <xf numFmtId="49" fontId="40" fillId="0" borderId="13" xfId="34" applyNumberFormat="1" applyFont="1" applyBorder="1" applyAlignment="1">
      <alignment horizontal="center" vertical="center"/>
    </xf>
    <xf numFmtId="49" fontId="36" fillId="0" borderId="64" xfId="34" applyNumberFormat="1" applyFont="1" applyBorder="1" applyAlignment="1">
      <alignment horizontal="center" vertical="center" textRotation="255" shrinkToFit="1"/>
    </xf>
    <xf numFmtId="49" fontId="0" fillId="0" borderId="36" xfId="0" applyNumberFormat="1" applyBorder="1" applyAlignment="1">
      <alignment horizontal="center" vertical="center" textRotation="255" shrinkToFit="1"/>
    </xf>
    <xf numFmtId="49" fontId="0" fillId="0" borderId="12" xfId="0" applyNumberFormat="1" applyBorder="1" applyAlignment="1">
      <alignment horizontal="center" vertical="center" textRotation="255" shrinkToFit="1"/>
    </xf>
    <xf numFmtId="180" fontId="41" fillId="0" borderId="12" xfId="21" applyNumberFormat="1" applyFont="1" applyBorder="1" applyAlignment="1">
      <alignment horizontal="center" vertical="center" shrinkToFit="1"/>
    </xf>
    <xf numFmtId="180" fontId="41" fillId="0" borderId="65" xfId="21" applyNumberFormat="1" applyFont="1" applyBorder="1" applyAlignment="1">
      <alignment horizontal="center" vertical="center" shrinkToFit="1"/>
    </xf>
    <xf numFmtId="180" fontId="68" fillId="0" borderId="65" xfId="21" applyNumberFormat="1" applyFont="1" applyBorder="1" applyAlignment="1">
      <alignment horizontal="center" vertical="center" shrinkToFit="1"/>
    </xf>
    <xf numFmtId="49" fontId="35" fillId="0" borderId="65" xfId="34" applyNumberFormat="1" applyFont="1" applyBorder="1" applyAlignment="1">
      <alignment horizontal="center" vertical="center" wrapText="1"/>
    </xf>
    <xf numFmtId="49" fontId="35" fillId="0" borderId="65" xfId="34" applyNumberFormat="1" applyFont="1" applyBorder="1" applyAlignment="1">
      <alignment horizontal="center" vertical="center"/>
    </xf>
    <xf numFmtId="49" fontId="51" fillId="0" borderId="65" xfId="21" applyNumberFormat="1" applyFont="1" applyBorder="1" applyAlignment="1">
      <alignment horizontal="center" vertical="center" shrinkToFit="1"/>
    </xf>
    <xf numFmtId="49" fontId="51" fillId="0" borderId="12" xfId="21" applyNumberFormat="1" applyFont="1" applyBorder="1" applyAlignment="1">
      <alignment horizontal="center" vertical="center" shrinkToFit="1"/>
    </xf>
    <xf numFmtId="49" fontId="67" fillId="0" borderId="65" xfId="21" applyNumberFormat="1" applyFont="1" applyBorder="1" applyAlignment="1">
      <alignment horizontal="center" vertical="center" shrinkToFit="1"/>
    </xf>
    <xf numFmtId="49" fontId="51" fillId="0" borderId="64" xfId="21" applyNumberFormat="1" applyFont="1" applyBorder="1" applyAlignment="1">
      <alignment horizontal="center" vertical="center" shrinkToFit="1"/>
    </xf>
    <xf numFmtId="49" fontId="51" fillId="0" borderId="36" xfId="21" applyNumberFormat="1" applyFont="1" applyBorder="1" applyAlignment="1">
      <alignment horizontal="center" vertical="center" shrinkToFit="1"/>
    </xf>
    <xf numFmtId="49" fontId="43" fillId="0" borderId="65" xfId="21" applyNumberFormat="1" applyFont="1" applyBorder="1" applyAlignment="1">
      <alignment horizontal="center" vertical="center" shrinkToFit="1"/>
    </xf>
    <xf numFmtId="49" fontId="40" fillId="0" borderId="66" xfId="34" applyNumberFormat="1" applyFont="1" applyBorder="1" applyAlignment="1">
      <alignment horizontal="center" vertical="center" wrapText="1"/>
    </xf>
    <xf numFmtId="49" fontId="42" fillId="0" borderId="67" xfId="0" applyNumberFormat="1" applyFont="1" applyBorder="1" applyAlignment="1">
      <alignment vertical="center" wrapText="1"/>
    </xf>
    <xf numFmtId="180" fontId="41" fillId="0" borderId="65" xfId="21" applyNumberFormat="1" applyFont="1" applyBorder="1" applyAlignment="1">
      <alignment horizontal="center" vertical="center"/>
    </xf>
    <xf numFmtId="49" fontId="3" fillId="0" borderId="66" xfId="34" applyNumberFormat="1" applyFont="1" applyBorder="1" applyAlignment="1">
      <alignment horizontal="center" vertical="center" wrapText="1"/>
    </xf>
    <xf numFmtId="49" fontId="3" fillId="0" borderId="68" xfId="34" applyNumberFormat="1" applyFont="1" applyBorder="1" applyAlignment="1">
      <alignment horizontal="center" vertical="center" wrapText="1"/>
    </xf>
    <xf numFmtId="49" fontId="40" fillId="0" borderId="68" xfId="34" applyNumberFormat="1" applyFont="1" applyBorder="1" applyAlignment="1">
      <alignment horizontal="center" vertical="center" wrapText="1"/>
    </xf>
    <xf numFmtId="49" fontId="40" fillId="0" borderId="67" xfId="34" applyNumberFormat="1" applyFont="1" applyBorder="1" applyAlignment="1">
      <alignment horizontal="center" vertical="center" wrapText="1"/>
    </xf>
    <xf numFmtId="49" fontId="40" fillId="0" borderId="68" xfId="34" applyNumberFormat="1" applyFont="1" applyBorder="1" applyAlignment="1">
      <alignment vertical="center" wrapText="1"/>
    </xf>
    <xf numFmtId="49" fontId="40" fillId="0" borderId="68" xfId="34" applyNumberFormat="1" applyFont="1" applyBorder="1" applyAlignment="1">
      <alignment wrapText="1"/>
    </xf>
    <xf numFmtId="49" fontId="44" fillId="0" borderId="66" xfId="34" applyNumberFormat="1" applyFont="1" applyBorder="1" applyAlignment="1">
      <alignment horizontal="center" vertical="center" wrapText="1"/>
    </xf>
    <xf numFmtId="49" fontId="44" fillId="0" borderId="67" xfId="34" applyNumberFormat="1" applyFont="1" applyBorder="1" applyAlignment="1">
      <alignment horizontal="center" vertical="center" wrapText="1"/>
    </xf>
    <xf numFmtId="49" fontId="40" fillId="0" borderId="69" xfId="34" applyNumberFormat="1" applyFont="1" applyBorder="1" applyAlignment="1">
      <alignment horizontal="center" vertical="center" wrapText="1"/>
    </xf>
    <xf numFmtId="49" fontId="40" fillId="0" borderId="4" xfId="34" applyNumberFormat="1" applyFont="1" applyBorder="1" applyAlignment="1">
      <alignment horizontal="center" vertical="center" wrapText="1"/>
    </xf>
    <xf numFmtId="49" fontId="40" fillId="0" borderId="22" xfId="34" applyNumberFormat="1" applyFont="1" applyBorder="1" applyAlignment="1">
      <alignment horizontal="center" vertical="center" wrapText="1"/>
    </xf>
    <xf numFmtId="49" fontId="40" fillId="0" borderId="0" xfId="34" applyNumberFormat="1" applyFont="1" applyAlignment="1">
      <alignment horizontal="center" vertical="center" wrapText="1"/>
    </xf>
    <xf numFmtId="49" fontId="40" fillId="0" borderId="13" xfId="34" applyNumberFormat="1" applyFont="1" applyBorder="1" applyAlignment="1">
      <alignment horizontal="center" vertical="center" wrapText="1"/>
    </xf>
    <xf numFmtId="49" fontId="40" fillId="0" borderId="15" xfId="34" applyNumberFormat="1" applyFont="1" applyBorder="1" applyAlignment="1">
      <alignment horizontal="center" vertical="center" wrapText="1"/>
    </xf>
    <xf numFmtId="49" fontId="40" fillId="0" borderId="69" xfId="34" applyNumberFormat="1" applyFont="1" applyBorder="1" applyAlignment="1">
      <alignment vertical="center" wrapText="1"/>
    </xf>
    <xf numFmtId="49" fontId="40" fillId="0" borderId="4" xfId="34" applyNumberFormat="1" applyFont="1" applyBorder="1" applyAlignment="1">
      <alignment vertical="center" wrapText="1"/>
    </xf>
    <xf numFmtId="49" fontId="40" fillId="0" borderId="22" xfId="34" applyNumberFormat="1" applyFont="1" applyBorder="1" applyAlignment="1">
      <alignment vertical="center" wrapText="1"/>
    </xf>
    <xf numFmtId="49" fontId="40" fillId="0" borderId="0" xfId="34" applyNumberFormat="1" applyFont="1" applyAlignment="1">
      <alignment vertical="center" wrapText="1"/>
    </xf>
    <xf numFmtId="49" fontId="40" fillId="0" borderId="13" xfId="34" applyNumberFormat="1" applyFont="1" applyBorder="1" applyAlignment="1">
      <alignment vertical="center" wrapText="1"/>
    </xf>
    <xf numFmtId="49" fontId="40" fillId="0" borderId="15" xfId="34" applyNumberFormat="1" applyFont="1" applyBorder="1" applyAlignment="1">
      <alignment vertical="center" wrapText="1"/>
    </xf>
    <xf numFmtId="49" fontId="44" fillId="0" borderId="69" xfId="34" applyNumberFormat="1" applyFont="1" applyBorder="1" applyAlignment="1">
      <alignment horizontal="center" vertical="center" wrapText="1"/>
    </xf>
    <xf numFmtId="49" fontId="44" fillId="0" borderId="70" xfId="34" applyNumberFormat="1" applyFont="1" applyBorder="1" applyAlignment="1">
      <alignment horizontal="center" vertical="center" wrapText="1"/>
    </xf>
    <xf numFmtId="49" fontId="44" fillId="0" borderId="13" xfId="34" applyNumberFormat="1" applyFont="1" applyBorder="1" applyAlignment="1">
      <alignment horizontal="center" vertical="center" wrapText="1"/>
    </xf>
    <xf numFmtId="49" fontId="44" fillId="0" borderId="23" xfId="34" applyNumberFormat="1" applyFont="1" applyBorder="1" applyAlignment="1">
      <alignment horizontal="center" vertical="center" wrapText="1"/>
    </xf>
    <xf numFmtId="49" fontId="38" fillId="0" borderId="4" xfId="0" applyNumberFormat="1" applyFont="1" applyBorder="1" applyAlignment="1">
      <alignment vertical="center" wrapText="1"/>
    </xf>
    <xf numFmtId="49" fontId="38" fillId="0" borderId="70" xfId="0" applyNumberFormat="1" applyFont="1" applyBorder="1" applyAlignment="1">
      <alignment vertical="center" wrapText="1"/>
    </xf>
    <xf numFmtId="49" fontId="38" fillId="0" borderId="22" xfId="0" applyNumberFormat="1" applyFont="1" applyBorder="1" applyAlignment="1">
      <alignment vertical="center" wrapText="1"/>
    </xf>
    <xf numFmtId="49" fontId="38" fillId="0" borderId="0" xfId="0" applyNumberFormat="1" applyFont="1" applyAlignment="1">
      <alignment vertical="center" wrapText="1"/>
    </xf>
    <xf numFmtId="49" fontId="38" fillId="0" borderId="49" xfId="0" applyNumberFormat="1" applyFont="1" applyBorder="1" applyAlignment="1">
      <alignment vertical="center" wrapText="1"/>
    </xf>
    <xf numFmtId="49" fontId="38" fillId="0" borderId="13" xfId="0" applyNumberFormat="1" applyFont="1" applyBorder="1" applyAlignment="1">
      <alignment vertical="center" wrapText="1"/>
    </xf>
    <xf numFmtId="49" fontId="38" fillId="0" borderId="15" xfId="0" applyNumberFormat="1" applyFont="1" applyBorder="1" applyAlignment="1">
      <alignment vertical="center" wrapText="1"/>
    </xf>
    <xf numFmtId="49" fontId="38" fillId="0" borderId="23" xfId="0" applyNumberFormat="1" applyFont="1" applyBorder="1" applyAlignment="1">
      <alignment vertical="center" wrapText="1"/>
    </xf>
    <xf numFmtId="49" fontId="43" fillId="0" borderId="65" xfId="21" applyNumberFormat="1" applyFont="1" applyBorder="1" applyAlignment="1">
      <alignment horizontal="center" vertical="center"/>
    </xf>
    <xf numFmtId="49" fontId="40" fillId="0" borderId="65" xfId="34" applyNumberFormat="1" applyFont="1" applyBorder="1" applyAlignment="1">
      <alignment horizontal="left" vertical="center"/>
    </xf>
    <xf numFmtId="49" fontId="40" fillId="0" borderId="65" xfId="34" applyNumberFormat="1" applyFont="1" applyBorder="1" applyAlignment="1">
      <alignment vertical="center"/>
    </xf>
    <xf numFmtId="49" fontId="40" fillId="0" borderId="69" xfId="34" applyNumberFormat="1" applyFont="1" applyBorder="1" applyAlignment="1">
      <alignment horizontal="center" vertical="center"/>
    </xf>
    <xf numFmtId="49" fontId="38" fillId="0" borderId="71" xfId="0" applyNumberFormat="1" applyFont="1" applyBorder="1" applyAlignment="1">
      <alignment horizontal="center" vertical="center"/>
    </xf>
    <xf numFmtId="49" fontId="38" fillId="0" borderId="70" xfId="0" applyNumberFormat="1" applyFont="1" applyBorder="1" applyAlignment="1">
      <alignment horizontal="center" vertical="center"/>
    </xf>
    <xf numFmtId="49" fontId="40" fillId="0" borderId="22" xfId="34" applyNumberFormat="1" applyFont="1" applyBorder="1" applyAlignment="1">
      <alignment horizontal="center" vertical="center"/>
    </xf>
    <xf numFmtId="49" fontId="38" fillId="0" borderId="0" xfId="0" applyNumberFormat="1" applyFont="1" applyBorder="1" applyAlignment="1">
      <alignment horizontal="center" vertical="center"/>
    </xf>
    <xf numFmtId="49" fontId="38" fillId="0" borderId="49" xfId="0" applyNumberFormat="1" applyFont="1" applyBorder="1" applyAlignment="1">
      <alignment horizontal="center" vertical="center"/>
    </xf>
    <xf numFmtId="49" fontId="38" fillId="0" borderId="13" xfId="0" applyNumberFormat="1" applyFont="1" applyBorder="1" applyAlignment="1">
      <alignment horizontal="center" vertical="center"/>
    </xf>
    <xf numFmtId="49" fontId="38" fillId="0" borderId="15" xfId="0" applyNumberFormat="1" applyFont="1" applyBorder="1" applyAlignment="1">
      <alignment horizontal="center" vertical="center"/>
    </xf>
    <xf numFmtId="49" fontId="38" fillId="0" borderId="23" xfId="0" applyNumberFormat="1" applyFont="1" applyBorder="1" applyAlignment="1">
      <alignment horizontal="center" vertical="center"/>
    </xf>
    <xf numFmtId="49" fontId="44" fillId="0" borderId="69" xfId="34" applyNumberFormat="1" applyFont="1" applyBorder="1" applyAlignment="1">
      <alignment horizontal="center" vertical="center" shrinkToFit="1"/>
    </xf>
    <xf numFmtId="0" fontId="63" fillId="0" borderId="4" xfId="0" applyFont="1" applyBorder="1" applyAlignment="1">
      <alignment horizontal="center" vertical="center" shrinkToFit="1"/>
    </xf>
    <xf numFmtId="0" fontId="63" fillId="0" borderId="70" xfId="0" applyFont="1" applyBorder="1" applyAlignment="1">
      <alignment horizontal="center" vertical="center" shrinkToFit="1"/>
    </xf>
    <xf numFmtId="49" fontId="56" fillId="0" borderId="13" xfId="0" applyNumberFormat="1" applyFont="1" applyBorder="1" applyAlignment="1">
      <alignment horizontal="center" vertical="center" shrinkToFit="1"/>
    </xf>
    <xf numFmtId="0" fontId="63" fillId="0" borderId="15" xfId="0" applyFont="1" applyBorder="1" applyAlignment="1">
      <alignment horizontal="center" vertical="center" shrinkToFit="1"/>
    </xf>
    <xf numFmtId="0" fontId="63" fillId="0" borderId="23" xfId="0" applyFont="1" applyBorder="1" applyAlignment="1">
      <alignment horizontal="center" vertical="center" shrinkToFit="1"/>
    </xf>
    <xf numFmtId="0" fontId="36" fillId="0" borderId="0" xfId="34" applyFont="1" applyBorder="1" applyAlignment="1"/>
    <xf numFmtId="49" fontId="11" fillId="0" borderId="80" xfId="0" applyNumberFormat="1" applyFont="1" applyBorder="1" applyAlignment="1">
      <alignment horizontal="center" vertical="center" shrinkToFit="1"/>
    </xf>
    <xf numFmtId="49" fontId="11" fillId="0" borderId="81" xfId="0" applyNumberFormat="1" applyFont="1" applyBorder="1" applyAlignment="1">
      <alignment horizontal="center" vertical="center" shrinkToFit="1"/>
    </xf>
    <xf numFmtId="49" fontId="11" fillId="0" borderId="82" xfId="0" applyNumberFormat="1" applyFont="1" applyBorder="1" applyAlignment="1">
      <alignment horizontal="center" vertical="center" shrinkToFit="1"/>
    </xf>
    <xf numFmtId="49" fontId="11" fillId="0" borderId="83" xfId="0" applyNumberFormat="1" applyFont="1" applyBorder="1" applyAlignment="1">
      <alignment horizontal="center" vertical="center" shrinkToFit="1"/>
    </xf>
    <xf numFmtId="49" fontId="11" fillId="0" borderId="84" xfId="0" applyNumberFormat="1" applyFont="1" applyBorder="1" applyAlignment="1">
      <alignment horizontal="center" vertical="center" shrinkToFit="1"/>
    </xf>
    <xf numFmtId="49" fontId="11" fillId="0" borderId="85" xfId="0" applyNumberFormat="1" applyFont="1" applyBorder="1" applyAlignment="1">
      <alignment horizontal="center" vertical="center" shrinkToFit="1"/>
    </xf>
    <xf numFmtId="49" fontId="11" fillId="0" borderId="4" xfId="0" applyNumberFormat="1" applyFont="1" applyBorder="1" applyAlignment="1">
      <alignment horizontal="center" vertical="center" shrinkToFit="1"/>
    </xf>
    <xf numFmtId="49" fontId="11" fillId="0" borderId="70" xfId="0" applyNumberFormat="1" applyFont="1" applyBorder="1" applyAlignment="1">
      <alignment horizontal="center" vertical="center" shrinkToFit="1"/>
    </xf>
    <xf numFmtId="49" fontId="44" fillId="0" borderId="22" xfId="34" applyNumberFormat="1" applyFont="1" applyBorder="1" applyAlignment="1">
      <alignment horizontal="center" vertical="center" shrinkToFit="1"/>
    </xf>
    <xf numFmtId="49" fontId="11" fillId="0" borderId="0" xfId="0" applyNumberFormat="1" applyFont="1" applyAlignment="1">
      <alignment horizontal="center" vertical="center" shrinkToFit="1"/>
    </xf>
    <xf numFmtId="49" fontId="11" fillId="0" borderId="49" xfId="0" applyNumberFormat="1" applyFont="1" applyBorder="1" applyAlignment="1">
      <alignment horizontal="center" vertical="center" shrinkToFit="1"/>
    </xf>
    <xf numFmtId="49" fontId="11" fillId="0" borderId="13" xfId="0" applyNumberFormat="1" applyFont="1" applyBorder="1" applyAlignment="1">
      <alignment horizontal="center" vertical="center" shrinkToFit="1"/>
    </xf>
    <xf numFmtId="49" fontId="11" fillId="0" borderId="15" xfId="0" applyNumberFormat="1" applyFont="1" applyBorder="1" applyAlignment="1">
      <alignment horizontal="center" vertical="center" shrinkToFit="1"/>
    </xf>
    <xf numFmtId="49" fontId="11" fillId="0" borderId="23" xfId="0" applyNumberFormat="1" applyFont="1" applyBorder="1" applyAlignment="1">
      <alignment horizontal="center" vertical="center" shrinkToFit="1"/>
    </xf>
    <xf numFmtId="49" fontId="44" fillId="0" borderId="13" xfId="34" applyNumberFormat="1" applyFont="1" applyBorder="1" applyAlignment="1">
      <alignment horizontal="center" vertical="center" shrinkToFit="1"/>
    </xf>
    <xf numFmtId="49" fontId="56" fillId="0" borderId="69" xfId="0" applyNumberFormat="1" applyFont="1" applyBorder="1" applyAlignment="1">
      <alignment horizontal="center" vertical="center" shrinkToFit="1"/>
    </xf>
    <xf numFmtId="0" fontId="63" fillId="0" borderId="49" xfId="0" applyFont="1" applyBorder="1" applyAlignment="1">
      <alignment horizontal="center" vertical="center" shrinkToFit="1"/>
    </xf>
    <xf numFmtId="49" fontId="66" fillId="0" borderId="69" xfId="34" applyNumberFormat="1" applyFont="1" applyBorder="1" applyAlignment="1">
      <alignment horizontal="center" vertical="center" shrinkToFit="1"/>
    </xf>
    <xf numFmtId="49" fontId="44" fillId="0" borderId="70" xfId="34" applyNumberFormat="1" applyFont="1" applyBorder="1" applyAlignment="1">
      <alignment horizontal="center" vertical="center" shrinkToFit="1"/>
    </xf>
    <xf numFmtId="49" fontId="44" fillId="0" borderId="65" xfId="34" applyNumberFormat="1" applyFont="1" applyBorder="1" applyAlignment="1">
      <alignment horizontal="center" vertical="center" shrinkToFit="1"/>
    </xf>
    <xf numFmtId="0" fontId="40" fillId="0" borderId="79" xfId="34" applyFont="1" applyBorder="1" applyAlignment="1">
      <alignment horizontal="center" vertical="center" shrinkToFit="1"/>
    </xf>
    <xf numFmtId="49" fontId="44" fillId="0" borderId="4" xfId="34" applyNumberFormat="1" applyFont="1" applyBorder="1" applyAlignment="1">
      <alignment horizontal="center" vertical="center" shrinkToFit="1"/>
    </xf>
    <xf numFmtId="49" fontId="44" fillId="0" borderId="12" xfId="34" applyNumberFormat="1" applyFont="1" applyBorder="1" applyAlignment="1">
      <alignment horizontal="center" vertical="center" shrinkToFit="1"/>
    </xf>
    <xf numFmtId="49" fontId="44" fillId="0" borderId="68" xfId="34" applyNumberFormat="1" applyFont="1" applyBorder="1" applyAlignment="1">
      <alignment horizontal="center" vertical="center" shrinkToFit="1"/>
    </xf>
    <xf numFmtId="49" fontId="44" fillId="0" borderId="64" xfId="34" applyNumberFormat="1" applyFont="1" applyBorder="1" applyAlignment="1">
      <alignment horizontal="center" vertical="center" shrinkToFit="1"/>
    </xf>
    <xf numFmtId="49" fontId="44" fillId="0" borderId="0" xfId="34" applyNumberFormat="1" applyFont="1" applyAlignment="1">
      <alignment horizontal="center" vertical="center" shrinkToFit="1"/>
    </xf>
    <xf numFmtId="49" fontId="38" fillId="0" borderId="69" xfId="0" applyNumberFormat="1" applyFont="1" applyBorder="1" applyAlignment="1">
      <alignment horizontal="center" vertical="center"/>
    </xf>
    <xf numFmtId="49" fontId="36" fillId="0" borderId="69" xfId="34" applyNumberFormat="1" applyFont="1" applyFill="1" applyBorder="1" applyAlignment="1">
      <alignment horizontal="center" vertical="center" shrinkToFit="1"/>
    </xf>
    <xf numFmtId="49" fontId="36" fillId="0" borderId="71" xfId="34" applyNumberFormat="1" applyFont="1" applyFill="1" applyBorder="1" applyAlignment="1">
      <alignment horizontal="center" vertical="center" shrinkToFit="1"/>
    </xf>
    <xf numFmtId="49" fontId="1" fillId="0" borderId="71" xfId="21" applyNumberFormat="1" applyBorder="1" applyAlignment="1">
      <alignment horizontal="center" vertical="center" shrinkToFit="1"/>
    </xf>
    <xf numFmtId="49" fontId="1" fillId="0" borderId="70" xfId="21" applyNumberFormat="1" applyBorder="1" applyAlignment="1">
      <alignment horizontal="center" vertical="center" shrinkToFit="1"/>
    </xf>
    <xf numFmtId="49" fontId="38" fillId="0" borderId="69" xfId="0" applyNumberFormat="1" applyFont="1" applyBorder="1" applyAlignment="1">
      <alignment horizontal="center" vertical="center" wrapText="1"/>
    </xf>
    <xf numFmtId="49" fontId="0" fillId="0" borderId="66" xfId="0" applyNumberFormat="1" applyBorder="1" applyAlignment="1">
      <alignment horizontal="center" vertical="center" wrapText="1"/>
    </xf>
    <xf numFmtId="49" fontId="0" fillId="0" borderId="68" xfId="0" applyNumberFormat="1" applyBorder="1" applyAlignment="1">
      <alignment horizontal="center" vertical="center"/>
    </xf>
    <xf numFmtId="49" fontId="0" fillId="0" borderId="67" xfId="0" applyNumberFormat="1" applyBorder="1" applyAlignment="1">
      <alignment horizontal="center" vertical="center"/>
    </xf>
    <xf numFmtId="49" fontId="39" fillId="0" borderId="66" xfId="34" applyNumberFormat="1" applyFont="1" applyBorder="1" applyAlignment="1">
      <alignment horizontal="center" vertical="center" wrapText="1" shrinkToFit="1"/>
    </xf>
    <xf numFmtId="49" fontId="39" fillId="0" borderId="67" xfId="0" applyNumberFormat="1" applyFont="1" applyBorder="1" applyAlignment="1">
      <alignment horizontal="center" vertical="center" wrapText="1" shrinkToFit="1"/>
    </xf>
    <xf numFmtId="49" fontId="36" fillId="0" borderId="66" xfId="34" applyNumberFormat="1" applyFont="1" applyBorder="1" applyAlignment="1">
      <alignment horizontal="center" vertical="center" wrapText="1" shrinkToFit="1"/>
    </xf>
    <xf numFmtId="49" fontId="38" fillId="0" borderId="67" xfId="0" applyNumberFormat="1" applyFont="1" applyBorder="1" applyAlignment="1">
      <alignment horizontal="center" vertical="center" wrapText="1" shrinkToFit="1"/>
    </xf>
    <xf numFmtId="49" fontId="38" fillId="0" borderId="66" xfId="0" applyNumberFormat="1" applyFont="1" applyBorder="1" applyAlignment="1">
      <alignment horizontal="center" vertical="center" wrapText="1"/>
    </xf>
    <xf numFmtId="49" fontId="38" fillId="0" borderId="67" xfId="0" applyNumberFormat="1" applyFont="1" applyBorder="1" applyAlignment="1">
      <alignment horizontal="center" vertical="center" wrapText="1"/>
    </xf>
    <xf numFmtId="49" fontId="36" fillId="0" borderId="66" xfId="34" applyNumberFormat="1" applyFont="1" applyFill="1" applyBorder="1" applyAlignment="1">
      <alignment horizontal="center" vertical="center" shrinkToFit="1"/>
    </xf>
    <xf numFmtId="49" fontId="36" fillId="0" borderId="68" xfId="34" applyNumberFormat="1" applyFont="1" applyFill="1" applyBorder="1" applyAlignment="1">
      <alignment horizontal="center" vertical="center" shrinkToFit="1"/>
    </xf>
    <xf numFmtId="49" fontId="0" fillId="0" borderId="68" xfId="0" applyNumberFormat="1" applyBorder="1" applyAlignment="1">
      <alignment horizontal="center" vertical="center" shrinkToFit="1"/>
    </xf>
    <xf numFmtId="49" fontId="0" fillId="0" borderId="67" xfId="0" applyNumberFormat="1" applyBorder="1" applyAlignment="1">
      <alignment horizontal="center" vertical="center" shrinkToFit="1"/>
    </xf>
    <xf numFmtId="49" fontId="37" fillId="0" borderId="13" xfId="34" applyNumberFormat="1" applyFont="1" applyBorder="1" applyAlignment="1">
      <alignment horizontal="center" vertical="center" wrapText="1" shrinkToFit="1"/>
    </xf>
    <xf numFmtId="49" fontId="37" fillId="0" borderId="15" xfId="34" applyNumberFormat="1" applyFont="1" applyBorder="1" applyAlignment="1">
      <alignment horizontal="center" vertical="center" wrapText="1" shrinkToFit="1"/>
    </xf>
    <xf numFmtId="49" fontId="36" fillId="0" borderId="64" xfId="34" applyNumberFormat="1" applyFont="1" applyBorder="1" applyAlignment="1">
      <alignment horizontal="center" vertical="center" shrinkToFit="1"/>
    </xf>
    <xf numFmtId="49" fontId="1" fillId="0" borderId="12" xfId="21" applyNumberFormat="1" applyBorder="1" applyAlignment="1">
      <alignment horizontal="center" vertical="center" shrinkToFit="1"/>
    </xf>
    <xf numFmtId="49" fontId="36" fillId="0" borderId="59" xfId="34" applyNumberFormat="1" applyFont="1" applyBorder="1" applyAlignment="1">
      <alignment horizontal="center" shrinkToFit="1"/>
    </xf>
    <xf numFmtId="49" fontId="0" fillId="0" borderId="60" xfId="0" applyNumberFormat="1" applyBorder="1" applyAlignment="1">
      <alignment horizontal="center" shrinkToFit="1"/>
    </xf>
    <xf numFmtId="49" fontId="0" fillId="0" borderId="61" xfId="0" applyNumberFormat="1" applyBorder="1" applyAlignment="1">
      <alignment horizontal="center" shrinkToFit="1"/>
    </xf>
    <xf numFmtId="49" fontId="0" fillId="0" borderId="62" xfId="0" applyNumberFormat="1" applyBorder="1" applyAlignment="1">
      <alignment horizontal="center" shrinkToFit="1"/>
    </xf>
    <xf numFmtId="49" fontId="64" fillId="0" borderId="64" xfId="34" applyNumberFormat="1" applyFont="1" applyBorder="1" applyAlignment="1">
      <alignment horizontal="left" vertical="center" wrapText="1"/>
    </xf>
    <xf numFmtId="0" fontId="65" fillId="0" borderId="36" xfId="0" applyFont="1" applyBorder="1" applyAlignment="1">
      <alignment vertical="center" wrapText="1"/>
    </xf>
    <xf numFmtId="0" fontId="65" fillId="0" borderId="12" xfId="0" applyFont="1" applyBorder="1" applyAlignment="1">
      <alignment vertical="center" wrapText="1"/>
    </xf>
    <xf numFmtId="49" fontId="40" fillId="0" borderId="69" xfId="34" applyNumberFormat="1" applyFont="1" applyBorder="1" applyAlignment="1">
      <alignment horizontal="center" vertical="center" shrinkToFit="1"/>
    </xf>
    <xf numFmtId="0" fontId="55" fillId="0" borderId="4" xfId="0" applyFont="1" applyBorder="1" applyAlignment="1">
      <alignment horizontal="center" vertical="center" shrinkToFit="1"/>
    </xf>
    <xf numFmtId="0" fontId="55" fillId="0" borderId="70" xfId="0" applyFont="1" applyBorder="1" applyAlignment="1">
      <alignment horizontal="center" vertical="center" shrinkToFit="1"/>
    </xf>
    <xf numFmtId="49" fontId="40" fillId="0" borderId="13" xfId="34" applyNumberFormat="1" applyFont="1" applyBorder="1" applyAlignment="1">
      <alignment horizontal="center" vertical="center" shrinkToFit="1"/>
    </xf>
    <xf numFmtId="0" fontId="55" fillId="0" borderId="15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40" fillId="0" borderId="64" xfId="34" applyFont="1" applyBorder="1" applyAlignment="1">
      <alignment horizontal="center" vertical="center" shrinkToFit="1"/>
    </xf>
    <xf numFmtId="0" fontId="40" fillId="0" borderId="36" xfId="34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49" fontId="40" fillId="0" borderId="22" xfId="34" applyNumberFormat="1" applyFont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49" fontId="35" fillId="0" borderId="0" xfId="34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5" fillId="0" borderId="0" xfId="34" applyNumberFormat="1" applyFont="1" applyBorder="1" applyAlignment="1">
      <alignment horizontal="center" vertical="center"/>
    </xf>
    <xf numFmtId="49" fontId="35" fillId="0" borderId="0" xfId="34" applyNumberFormat="1" applyFont="1" applyBorder="1" applyAlignment="1">
      <alignment horizontal="center"/>
    </xf>
    <xf numFmtId="49" fontId="37" fillId="0" borderId="64" xfId="34" applyNumberFormat="1" applyFont="1" applyBorder="1" applyAlignment="1">
      <alignment horizontal="center" vertical="center" wrapText="1" shrinkToFit="1"/>
    </xf>
    <xf numFmtId="49" fontId="37" fillId="0" borderId="64" xfId="34" applyNumberFormat="1" applyFont="1" applyBorder="1" applyAlignment="1">
      <alignment horizontal="center" vertical="center" shrinkToFit="1"/>
    </xf>
    <xf numFmtId="49" fontId="29" fillId="0" borderId="12" xfId="21" applyNumberFormat="1" applyFont="1" applyFill="1" applyBorder="1" applyAlignment="1">
      <alignment horizontal="center" vertical="center" shrinkToFit="1"/>
    </xf>
    <xf numFmtId="49" fontId="9" fillId="0" borderId="12" xfId="0" applyNumberFormat="1" applyFont="1" applyBorder="1" applyAlignment="1">
      <alignment horizontal="center" vertical="center" shrinkToFit="1"/>
    </xf>
    <xf numFmtId="49" fontId="30" fillId="0" borderId="66" xfId="21" applyNumberFormat="1" applyFont="1" applyFill="1" applyBorder="1" applyAlignment="1">
      <alignment horizontal="center" vertical="center" shrinkToFit="1"/>
    </xf>
    <xf numFmtId="0" fontId="30" fillId="0" borderId="68" xfId="21" applyFont="1" applyFill="1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49" fontId="29" fillId="0" borderId="66" xfId="21" applyNumberFormat="1" applyFont="1" applyFill="1" applyBorder="1" applyAlignment="1">
      <alignment horizontal="center" vertical="center" shrinkToFit="1"/>
    </xf>
    <xf numFmtId="49" fontId="32" fillId="0" borderId="66" xfId="21" applyNumberFormat="1" applyFont="1" applyFill="1" applyBorder="1" applyAlignment="1">
      <alignment horizontal="center" vertical="center" shrinkToFit="1"/>
    </xf>
    <xf numFmtId="0" fontId="34" fillId="0" borderId="68" xfId="0" applyFont="1" applyBorder="1" applyAlignment="1">
      <alignment horizontal="center" vertical="center" shrinkToFit="1"/>
    </xf>
    <xf numFmtId="0" fontId="34" fillId="0" borderId="67" xfId="0" applyFont="1" applyBorder="1" applyAlignment="1">
      <alignment horizontal="center" vertical="center" shrinkToFit="1"/>
    </xf>
    <xf numFmtId="0" fontId="33" fillId="7" borderId="15" xfId="21" applyFont="1" applyFill="1" applyBorder="1">
      <alignment vertical="center"/>
    </xf>
    <xf numFmtId="0" fontId="30" fillId="0" borderId="15" xfId="21" applyFont="1" applyBorder="1">
      <alignment vertical="center"/>
    </xf>
    <xf numFmtId="0" fontId="30" fillId="0" borderId="0" xfId="21" applyFont="1">
      <alignment vertical="center"/>
    </xf>
    <xf numFmtId="49" fontId="29" fillId="0" borderId="66" xfId="21" applyNumberFormat="1" applyFont="1" applyBorder="1" applyAlignment="1">
      <alignment horizontal="center" vertical="center" shrinkToFit="1"/>
    </xf>
    <xf numFmtId="0" fontId="29" fillId="0" borderId="67" xfId="21" applyFont="1" applyBorder="1" applyAlignment="1">
      <alignment horizontal="center" vertical="center" shrinkToFit="1"/>
    </xf>
    <xf numFmtId="49" fontId="29" fillId="0" borderId="22" xfId="21" applyNumberFormat="1" applyFont="1" applyBorder="1" applyAlignment="1">
      <alignment horizontal="center" vertical="center"/>
    </xf>
    <xf numFmtId="0" fontId="29" fillId="0" borderId="0" xfId="21" applyFont="1" applyAlignment="1">
      <alignment horizontal="center" vertical="center"/>
    </xf>
    <xf numFmtId="49" fontId="29" fillId="0" borderId="0" xfId="21" applyNumberFormat="1" applyFont="1" applyAlignment="1">
      <alignment horizontal="center" vertical="center" shrinkToFit="1"/>
    </xf>
    <xf numFmtId="0" fontId="29" fillId="0" borderId="0" xfId="21" applyFont="1" applyAlignment="1">
      <alignment horizontal="center" vertical="center" shrinkToFit="1"/>
    </xf>
    <xf numFmtId="0" fontId="70" fillId="0" borderId="67" xfId="35" applyFont="1" applyBorder="1" applyAlignment="1">
      <alignment horizontal="center" vertical="center" shrinkToFit="1"/>
    </xf>
    <xf numFmtId="49" fontId="29" fillId="0" borderId="79" xfId="21" applyNumberFormat="1" applyFont="1" applyBorder="1" applyAlignment="1">
      <alignment horizontal="center" vertical="center" shrinkToFit="1"/>
    </xf>
    <xf numFmtId="49" fontId="70" fillId="0" borderId="79" xfId="35" applyNumberFormat="1" applyFont="1" applyBorder="1" applyAlignment="1">
      <alignment horizontal="center" vertical="center" shrinkToFit="1"/>
    </xf>
    <xf numFmtId="49" fontId="9" fillId="0" borderId="67" xfId="0" applyNumberFormat="1" applyFont="1" applyFill="1" applyBorder="1" applyAlignment="1">
      <alignment horizontal="center" vertical="center" shrinkToFit="1"/>
    </xf>
    <xf numFmtId="0" fontId="70" fillId="0" borderId="68" xfId="35" applyFont="1" applyBorder="1" applyAlignment="1">
      <alignment horizontal="center" vertical="center" shrinkToFit="1"/>
    </xf>
    <xf numFmtId="0" fontId="70" fillId="0" borderId="67" xfId="35" applyFont="1" applyBorder="1" applyAlignment="1">
      <alignment vertical="center" shrinkToFit="1"/>
    </xf>
    <xf numFmtId="0" fontId="33" fillId="0" borderId="0" xfId="21" applyFont="1">
      <alignment vertical="center"/>
    </xf>
    <xf numFmtId="49" fontId="29" fillId="0" borderId="67" xfId="21" applyNumberFormat="1" applyFont="1" applyBorder="1" applyAlignment="1">
      <alignment horizontal="center" vertical="center" shrinkToFit="1"/>
    </xf>
    <xf numFmtId="49" fontId="26" fillId="7" borderId="0" xfId="21" applyNumberFormat="1" applyFont="1" applyFill="1" applyAlignment="1">
      <alignment horizontal="center" vertical="center" shrinkToFit="1"/>
    </xf>
    <xf numFmtId="49" fontId="72" fillId="0" borderId="66" xfId="21" applyNumberFormat="1" applyFont="1" applyBorder="1" applyAlignment="1">
      <alignment horizontal="center" vertical="center" shrinkToFit="1"/>
    </xf>
    <xf numFmtId="0" fontId="73" fillId="0" borderId="67" xfId="35" applyFont="1" applyBorder="1" applyAlignment="1">
      <alignment horizontal="center" vertical="center" shrinkToFit="1"/>
    </xf>
    <xf numFmtId="0" fontId="72" fillId="0" borderId="67" xfId="21" applyFont="1" applyBorder="1" applyAlignment="1">
      <alignment horizontal="center" vertical="center" shrinkToFit="1"/>
    </xf>
    <xf numFmtId="0" fontId="29" fillId="0" borderId="66" xfId="21" applyFont="1" applyBorder="1" applyAlignment="1">
      <alignment horizontal="center" vertical="center" shrinkToFit="1"/>
    </xf>
    <xf numFmtId="0" fontId="27" fillId="0" borderId="0" xfId="21" applyFont="1">
      <alignment vertical="center"/>
    </xf>
    <xf numFmtId="0" fontId="28" fillId="0" borderId="0" xfId="21" applyFont="1">
      <alignment vertical="center"/>
    </xf>
    <xf numFmtId="49" fontId="26" fillId="17" borderId="0" xfId="21" applyNumberFormat="1" applyFont="1" applyFill="1" applyAlignment="1">
      <alignment horizontal="center" vertical="center"/>
    </xf>
    <xf numFmtId="49" fontId="29" fillId="0" borderId="22" xfId="21" applyNumberFormat="1" applyFont="1" applyBorder="1" applyAlignment="1">
      <alignment horizontal="center" vertical="center" shrinkToFit="1"/>
    </xf>
    <xf numFmtId="0" fontId="70" fillId="0" borderId="0" xfId="35" applyFont="1" applyAlignment="1">
      <alignment horizontal="center" vertical="center"/>
    </xf>
    <xf numFmtId="49" fontId="1" fillId="0" borderId="0" xfId="21" applyNumberFormat="1" applyAlignment="1">
      <alignment horizontal="center" vertical="center" shrinkToFit="1"/>
    </xf>
    <xf numFmtId="0" fontId="69" fillId="0" borderId="0" xfId="35" applyAlignment="1">
      <alignment horizontal="center" vertical="center"/>
    </xf>
    <xf numFmtId="0" fontId="56" fillId="0" borderId="65" xfId="0" applyFont="1" applyBorder="1" applyAlignment="1">
      <alignment vertical="center"/>
    </xf>
    <xf numFmtId="0" fontId="55" fillId="0" borderId="65" xfId="0" applyFont="1" applyBorder="1" applyAlignment="1">
      <alignment vertical="center"/>
    </xf>
    <xf numFmtId="0" fontId="16" fillId="0" borderId="65" xfId="0" applyNumberFormat="1" applyFont="1" applyFill="1" applyBorder="1" applyAlignment="1">
      <alignment horizontal="right" vertical="center"/>
    </xf>
    <xf numFmtId="0" fontId="55" fillId="0" borderId="65" xfId="0" applyNumberFormat="1" applyFont="1" applyBorder="1" applyAlignment="1">
      <alignment horizontal="right" vertical="center"/>
    </xf>
    <xf numFmtId="0" fontId="16" fillId="0" borderId="65" xfId="0" applyNumberFormat="1" applyFont="1" applyFill="1" applyBorder="1" applyAlignment="1">
      <alignment horizontal="left" vertical="center"/>
    </xf>
    <xf numFmtId="0" fontId="55" fillId="0" borderId="65" xfId="0" applyNumberFormat="1" applyFont="1" applyBorder="1" applyAlignment="1">
      <alignment horizontal="left" vertical="center"/>
    </xf>
    <xf numFmtId="20" fontId="16" fillId="0" borderId="65" xfId="0" applyNumberFormat="1" applyFont="1" applyFill="1" applyBorder="1" applyAlignment="1">
      <alignment horizontal="center" vertical="center"/>
    </xf>
    <xf numFmtId="0" fontId="16" fillId="0" borderId="6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20" fontId="77" fillId="0" borderId="65" xfId="0" applyNumberFormat="1" applyFont="1" applyBorder="1" applyAlignment="1">
      <alignment horizontal="center" vertical="center" shrinkToFit="1"/>
    </xf>
    <xf numFmtId="0" fontId="11" fillId="0" borderId="66" xfId="0" applyFont="1" applyFill="1" applyBorder="1" applyAlignment="1">
      <alignment horizontal="left" vertical="center" indent="2"/>
    </xf>
    <xf numFmtId="0" fontId="0" fillId="0" borderId="68" xfId="0" applyFill="1" applyBorder="1" applyAlignment="1">
      <alignment horizontal="left" vertical="center" indent="2"/>
    </xf>
    <xf numFmtId="0" fontId="0" fillId="0" borderId="67" xfId="0" applyFill="1" applyBorder="1" applyAlignment="1">
      <alignment horizontal="left" vertical="center" indent="2"/>
    </xf>
    <xf numFmtId="0" fontId="14" fillId="0" borderId="65" xfId="0" applyFont="1" applyFill="1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14" fillId="0" borderId="65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49" fontId="20" fillId="0" borderId="65" xfId="0" applyNumberFormat="1" applyFont="1" applyBorder="1" applyAlignment="1">
      <alignment horizontal="center" vertical="center"/>
    </xf>
    <xf numFmtId="0" fontId="20" fillId="0" borderId="65" xfId="0" applyNumberFormat="1" applyFont="1" applyBorder="1" applyAlignment="1">
      <alignment horizontal="center" vertical="center"/>
    </xf>
    <xf numFmtId="0" fontId="81" fillId="0" borderId="65" xfId="0" applyFont="1" applyFill="1" applyBorder="1" applyAlignment="1">
      <alignment horizontal="center" vertical="center"/>
    </xf>
    <xf numFmtId="0" fontId="82" fillId="0" borderId="65" xfId="0" applyFont="1" applyBorder="1" applyAlignment="1">
      <alignment vertical="center"/>
    </xf>
    <xf numFmtId="20" fontId="81" fillId="0" borderId="65" xfId="0" applyNumberFormat="1" applyFont="1" applyFill="1" applyBorder="1" applyAlignment="1">
      <alignment horizontal="center" vertical="center"/>
    </xf>
    <xf numFmtId="0" fontId="83" fillId="0" borderId="65" xfId="0" applyFont="1" applyBorder="1" applyAlignment="1">
      <alignment vertical="center"/>
    </xf>
    <xf numFmtId="0" fontId="81" fillId="0" borderId="65" xfId="0" applyNumberFormat="1" applyFont="1" applyFill="1" applyBorder="1" applyAlignment="1">
      <alignment horizontal="right" vertical="center"/>
    </xf>
    <xf numFmtId="0" fontId="82" fillId="0" borderId="65" xfId="0" applyNumberFormat="1" applyFont="1" applyBorder="1" applyAlignment="1">
      <alignment horizontal="right" vertical="center"/>
    </xf>
    <xf numFmtId="0" fontId="81" fillId="0" borderId="65" xfId="0" applyNumberFormat="1" applyFont="1" applyFill="1" applyBorder="1" applyAlignment="1">
      <alignment horizontal="left" vertical="center"/>
    </xf>
    <xf numFmtId="0" fontId="82" fillId="0" borderId="65" xfId="0" applyNumberFormat="1" applyFont="1" applyBorder="1" applyAlignment="1">
      <alignment horizontal="left" vertical="center"/>
    </xf>
    <xf numFmtId="0" fontId="24" fillId="0" borderId="65" xfId="0" applyFont="1" applyFill="1" applyBorder="1" applyAlignment="1">
      <alignment horizontal="center" vertical="center" shrinkToFit="1"/>
    </xf>
    <xf numFmtId="0" fontId="16" fillId="0" borderId="65" xfId="0" applyFont="1" applyFill="1" applyBorder="1" applyAlignment="1">
      <alignment horizontal="center" vertical="center" shrinkToFit="1"/>
    </xf>
    <xf numFmtId="0" fontId="81" fillId="0" borderId="65" xfId="0" applyFont="1" applyFill="1" applyBorder="1" applyAlignment="1">
      <alignment horizontal="center" vertical="center" shrinkToFit="1"/>
    </xf>
    <xf numFmtId="0" fontId="25" fillId="0" borderId="65" xfId="0" applyFont="1" applyFill="1" applyBorder="1" applyAlignment="1">
      <alignment horizontal="center" vertical="center" shrinkToFit="1"/>
    </xf>
    <xf numFmtId="0" fontId="11" fillId="0" borderId="65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left" vertical="center" indent="2"/>
    </xf>
    <xf numFmtId="0" fontId="16" fillId="0" borderId="65" xfId="0" applyFont="1" applyBorder="1" applyAlignment="1">
      <alignment horizontal="center" vertical="center" shrinkToFit="1"/>
    </xf>
    <xf numFmtId="0" fontId="13" fillId="0" borderId="65" xfId="0" applyFont="1" applyBorder="1" applyAlignment="1">
      <alignment horizontal="center" vertical="center" shrinkToFit="1"/>
    </xf>
    <xf numFmtId="0" fontId="11" fillId="0" borderId="65" xfId="0" applyFont="1" applyBorder="1" applyAlignment="1">
      <alignment horizontal="center" vertical="center" shrinkToFit="1"/>
    </xf>
    <xf numFmtId="0" fontId="11" fillId="0" borderId="65" xfId="0" applyFont="1" applyBorder="1" applyAlignment="1">
      <alignment horizontal="left" vertical="center" shrinkToFit="1"/>
    </xf>
    <xf numFmtId="0" fontId="20" fillId="0" borderId="65" xfId="0" applyFont="1" applyBorder="1" applyAlignment="1">
      <alignment horizontal="center" vertical="center" shrinkToFit="1"/>
    </xf>
    <xf numFmtId="49" fontId="13" fillId="0" borderId="65" xfId="0" applyNumberFormat="1" applyFont="1" applyBorder="1" applyAlignment="1">
      <alignment horizontal="center" vertical="center"/>
    </xf>
    <xf numFmtId="0" fontId="13" fillId="0" borderId="65" xfId="0" applyNumberFormat="1" applyFont="1" applyBorder="1" applyAlignment="1">
      <alignment horizontal="center" vertical="center"/>
    </xf>
    <xf numFmtId="14" fontId="13" fillId="0" borderId="66" xfId="0" applyNumberFormat="1" applyFont="1" applyBorder="1" applyAlignment="1">
      <alignment horizontal="right" vertical="center" shrinkToFit="1"/>
    </xf>
    <xf numFmtId="14" fontId="13" fillId="0" borderId="68" xfId="0" applyNumberFormat="1" applyFont="1" applyBorder="1" applyAlignment="1">
      <alignment horizontal="right" vertical="center" shrinkToFit="1"/>
    </xf>
    <xf numFmtId="178" fontId="22" fillId="0" borderId="68" xfId="0" applyNumberFormat="1" applyFont="1" applyBorder="1" applyAlignment="1">
      <alignment horizontal="left" vertical="center" shrinkToFit="1"/>
    </xf>
    <xf numFmtId="178" fontId="22" fillId="0" borderId="67" xfId="0" applyNumberFormat="1" applyFont="1" applyBorder="1" applyAlignment="1">
      <alignment horizontal="left" vertical="center" shrinkToFit="1"/>
    </xf>
    <xf numFmtId="178" fontId="21" fillId="0" borderId="68" xfId="0" applyNumberFormat="1" applyFont="1" applyBorder="1" applyAlignment="1">
      <alignment horizontal="left" vertical="center" shrinkToFit="1"/>
    </xf>
    <xf numFmtId="178" fontId="21" fillId="0" borderId="67" xfId="0" applyNumberFormat="1" applyFont="1" applyBorder="1" applyAlignment="1">
      <alignment horizontal="left" vertical="center" shrinkToFit="1"/>
    </xf>
    <xf numFmtId="0" fontId="16" fillId="0" borderId="75" xfId="0" applyFont="1" applyBorder="1" applyAlignment="1">
      <alignment horizontal="center" vertical="center" shrinkToFit="1"/>
    </xf>
    <xf numFmtId="0" fontId="11" fillId="0" borderId="76" xfId="0" applyFont="1" applyBorder="1" applyAlignment="1">
      <alignment horizontal="left" vertical="center" shrinkToFit="1"/>
    </xf>
    <xf numFmtId="0" fontId="16" fillId="0" borderId="45" xfId="0" applyFont="1" applyBorder="1" applyAlignment="1">
      <alignment horizontal="center" vertical="center" shrinkToFit="1"/>
    </xf>
    <xf numFmtId="0" fontId="16" fillId="0" borderId="46" xfId="0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 shrinkToFit="1"/>
    </xf>
    <xf numFmtId="0" fontId="14" fillId="0" borderId="46" xfId="0" applyFont="1" applyBorder="1" applyAlignment="1">
      <alignment horizontal="center" vertical="center" shrinkToFit="1"/>
    </xf>
    <xf numFmtId="0" fontId="11" fillId="0" borderId="46" xfId="0" applyFont="1" applyBorder="1" applyAlignment="1">
      <alignment horizontal="left" vertical="center" shrinkToFit="1"/>
    </xf>
    <xf numFmtId="0" fontId="11" fillId="0" borderId="57" xfId="0" applyFont="1" applyBorder="1" applyAlignment="1">
      <alignment horizontal="left" vertical="center" shrinkToFit="1"/>
    </xf>
    <xf numFmtId="0" fontId="16" fillId="0" borderId="42" xfId="0" applyFont="1" applyBorder="1" applyAlignment="1">
      <alignment horizontal="center" vertical="center" shrinkToFit="1"/>
    </xf>
    <xf numFmtId="0" fontId="16" fillId="0" borderId="43" xfId="0" applyFont="1" applyBorder="1" applyAlignment="1">
      <alignment horizontal="center" vertical="center" shrinkToFit="1"/>
    </xf>
    <xf numFmtId="0" fontId="13" fillId="0" borderId="43" xfId="0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 shrinkToFit="1"/>
    </xf>
    <xf numFmtId="0" fontId="11" fillId="0" borderId="55" xfId="0" applyFont="1" applyBorder="1" applyAlignment="1">
      <alignment horizontal="center" vertical="center" shrinkToFit="1"/>
    </xf>
    <xf numFmtId="0" fontId="16" fillId="0" borderId="44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left" vertical="center" shrinkToFit="1"/>
    </xf>
    <xf numFmtId="0" fontId="11" fillId="0" borderId="56" xfId="0" applyFont="1" applyBorder="1" applyAlignment="1">
      <alignment horizontal="left" vertical="center" shrinkToFit="1"/>
    </xf>
    <xf numFmtId="0" fontId="20" fillId="0" borderId="65" xfId="0" applyFont="1" applyBorder="1" applyAlignment="1">
      <alignment horizontal="center" vertical="center"/>
    </xf>
    <xf numFmtId="179" fontId="11" fillId="0" borderId="65" xfId="0" applyNumberFormat="1" applyFont="1" applyFill="1" applyBorder="1" applyAlignment="1">
      <alignment horizontal="center" vertical="center"/>
    </xf>
    <xf numFmtId="49" fontId="11" fillId="0" borderId="65" xfId="0" applyNumberFormat="1" applyFont="1" applyFill="1" applyBorder="1" applyAlignment="1">
      <alignment horizontal="left" vertical="center" indent="2"/>
    </xf>
    <xf numFmtId="0" fontId="11" fillId="4" borderId="65" xfId="0" applyFont="1" applyFill="1" applyBorder="1" applyAlignment="1">
      <alignment horizontal="center" vertical="center"/>
    </xf>
    <xf numFmtId="0" fontId="11" fillId="0" borderId="65" xfId="0" applyNumberFormat="1" applyFont="1" applyFill="1" applyBorder="1" applyAlignment="1">
      <alignment horizontal="left" vertical="center" indent="2"/>
    </xf>
    <xf numFmtId="0" fontId="11" fillId="6" borderId="65" xfId="0" applyFont="1" applyFill="1" applyBorder="1" applyAlignment="1">
      <alignment horizontal="center" vertical="center"/>
    </xf>
    <xf numFmtId="49" fontId="11" fillId="0" borderId="66" xfId="0" applyNumberFormat="1" applyFont="1" applyFill="1" applyBorder="1" applyAlignment="1">
      <alignment horizontal="left" vertical="center" indent="2"/>
    </xf>
    <xf numFmtId="0" fontId="0" fillId="0" borderId="68" xfId="0" applyNumberFormat="1" applyFill="1" applyBorder="1" applyAlignment="1">
      <alignment horizontal="left" vertical="center" indent="2"/>
    </xf>
    <xf numFmtId="0" fontId="0" fillId="0" borderId="67" xfId="0" applyNumberFormat="1" applyFill="1" applyBorder="1" applyAlignment="1">
      <alignment horizontal="left" vertical="center" indent="2"/>
    </xf>
    <xf numFmtId="0" fontId="23" fillId="4" borderId="65" xfId="0" applyFont="1" applyFill="1" applyBorder="1" applyAlignment="1">
      <alignment horizontal="center" vertical="center"/>
    </xf>
    <xf numFmtId="0" fontId="24" fillId="0" borderId="65" xfId="0" applyFont="1" applyBorder="1" applyAlignment="1">
      <alignment horizontal="center" vertical="center" shrinkToFit="1"/>
    </xf>
    <xf numFmtId="0" fontId="23" fillId="0" borderId="65" xfId="0" applyFont="1" applyBorder="1" applyAlignment="1">
      <alignment horizontal="left" vertical="center" shrinkToFit="1"/>
    </xf>
    <xf numFmtId="0" fontId="16" fillId="0" borderId="65" xfId="0" applyNumberFormat="1" applyFont="1" applyFill="1" applyBorder="1" applyAlignment="1">
      <alignment horizontal="center" vertical="center"/>
    </xf>
    <xf numFmtId="0" fontId="55" fillId="0" borderId="65" xfId="0" applyNumberFormat="1" applyFont="1" applyBorder="1" applyAlignment="1">
      <alignment vertical="center"/>
    </xf>
    <xf numFmtId="0" fontId="84" fillId="0" borderId="65" xfId="0" applyFont="1" applyBorder="1" applyAlignment="1">
      <alignment horizontal="left" vertical="center" shrinkToFit="1"/>
    </xf>
    <xf numFmtId="0" fontId="11" fillId="0" borderId="4" xfId="0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left" vertical="center" indent="2"/>
    </xf>
    <xf numFmtId="0" fontId="0" fillId="0" borderId="4" xfId="0" applyFill="1" applyBorder="1" applyAlignment="1">
      <alignment horizontal="left" vertical="center" indent="2"/>
    </xf>
    <xf numFmtId="0" fontId="11" fillId="0" borderId="65" xfId="0" applyFont="1" applyBorder="1" applyAlignment="1">
      <alignment horizontal="left" vertical="center" wrapText="1"/>
    </xf>
    <xf numFmtId="0" fontId="60" fillId="0" borderId="65" xfId="0" applyFont="1" applyBorder="1" applyAlignment="1">
      <alignment vertical="center"/>
    </xf>
    <xf numFmtId="0" fontId="60" fillId="0" borderId="65" xfId="0" applyNumberFormat="1" applyFont="1" applyBorder="1" applyAlignment="1">
      <alignment horizontal="right" vertical="center"/>
    </xf>
    <xf numFmtId="0" fontId="60" fillId="0" borderId="65" xfId="0" applyNumberFormat="1" applyFont="1" applyBorder="1" applyAlignment="1">
      <alignment horizontal="left" vertical="center"/>
    </xf>
    <xf numFmtId="0" fontId="16" fillId="0" borderId="65" xfId="0" applyFont="1" applyFill="1" applyBorder="1" applyAlignment="1">
      <alignment horizontal="right" vertical="center"/>
    </xf>
    <xf numFmtId="0" fontId="55" fillId="0" borderId="65" xfId="0" applyFont="1" applyBorder="1" applyAlignment="1">
      <alignment horizontal="right" vertical="center"/>
    </xf>
    <xf numFmtId="0" fontId="16" fillId="0" borderId="65" xfId="0" applyFont="1" applyFill="1" applyBorder="1" applyAlignment="1">
      <alignment horizontal="left" vertical="center"/>
    </xf>
    <xf numFmtId="0" fontId="55" fillId="0" borderId="65" xfId="0" applyFont="1" applyBorder="1" applyAlignment="1">
      <alignment horizontal="left" vertical="center"/>
    </xf>
    <xf numFmtId="20" fontId="16" fillId="0" borderId="53" xfId="0" applyNumberFormat="1" applyFont="1" applyFill="1" applyBorder="1" applyAlignment="1">
      <alignment horizontal="center" vertical="center" shrinkToFit="1"/>
    </xf>
    <xf numFmtId="20" fontId="16" fillId="0" borderId="0" xfId="0" applyNumberFormat="1" applyFont="1" applyFill="1" applyBorder="1" applyAlignment="1">
      <alignment horizontal="center" vertical="center" shrinkToFit="1"/>
    </xf>
    <xf numFmtId="20" fontId="16" fillId="0" borderId="58" xfId="0" applyNumberFormat="1" applyFont="1" applyFill="1" applyBorder="1" applyAlignment="1">
      <alignment horizontal="center" vertical="center" shrinkToFit="1"/>
    </xf>
    <xf numFmtId="20" fontId="16" fillId="0" borderId="54" xfId="0" applyNumberFormat="1" applyFont="1" applyFill="1" applyBorder="1" applyAlignment="1">
      <alignment horizontal="center" vertical="center" shrinkToFit="1"/>
    </xf>
    <xf numFmtId="20" fontId="16" fillId="0" borderId="47" xfId="0" applyNumberFormat="1" applyFont="1" applyFill="1" applyBorder="1" applyAlignment="1">
      <alignment horizontal="center" vertical="center" shrinkToFit="1"/>
    </xf>
    <xf numFmtId="20" fontId="16" fillId="0" borderId="52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left" vertical="center" indent="2"/>
    </xf>
    <xf numFmtId="0" fontId="11" fillId="0" borderId="5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58" xfId="0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16" fillId="0" borderId="53" xfId="0" applyNumberFormat="1" applyFont="1" applyFill="1" applyBorder="1" applyAlignment="1">
      <alignment horizontal="center" vertical="center" shrinkToFit="1"/>
    </xf>
    <xf numFmtId="0" fontId="16" fillId="0" borderId="0" xfId="0" applyNumberFormat="1" applyFont="1" applyFill="1" applyBorder="1" applyAlignment="1">
      <alignment horizontal="center" vertical="center" shrinkToFit="1"/>
    </xf>
    <xf numFmtId="0" fontId="16" fillId="0" borderId="49" xfId="0" applyNumberFormat="1" applyFont="1" applyFill="1" applyBorder="1" applyAlignment="1">
      <alignment horizontal="center" vertical="center" shrinkToFit="1"/>
    </xf>
    <xf numFmtId="0" fontId="16" fillId="0" borderId="54" xfId="0" applyNumberFormat="1" applyFont="1" applyFill="1" applyBorder="1" applyAlignment="1">
      <alignment horizontal="center" vertical="center" shrinkToFit="1"/>
    </xf>
    <xf numFmtId="0" fontId="16" fillId="0" borderId="47" xfId="0" applyNumberFormat="1" applyFont="1" applyFill="1" applyBorder="1" applyAlignment="1">
      <alignment horizontal="center" vertical="center" shrinkToFit="1"/>
    </xf>
    <xf numFmtId="0" fontId="16" fillId="0" borderId="48" xfId="0" applyNumberFormat="1" applyFont="1" applyFill="1" applyBorder="1" applyAlignment="1">
      <alignment horizontal="center" vertical="center" shrinkToFit="1"/>
    </xf>
    <xf numFmtId="0" fontId="16" fillId="0" borderId="22" xfId="0" applyNumberFormat="1" applyFont="1" applyFill="1" applyBorder="1" applyAlignment="1">
      <alignment horizontal="center" vertical="center" shrinkToFit="1"/>
    </xf>
    <xf numFmtId="0" fontId="16" fillId="0" borderId="58" xfId="0" applyNumberFormat="1" applyFont="1" applyFill="1" applyBorder="1" applyAlignment="1">
      <alignment horizontal="center" vertical="center" shrinkToFit="1"/>
    </xf>
    <xf numFmtId="0" fontId="16" fillId="0" borderId="51" xfId="0" applyNumberFormat="1" applyFont="1" applyFill="1" applyBorder="1" applyAlignment="1">
      <alignment horizontal="center" vertical="center" shrinkToFit="1"/>
    </xf>
    <xf numFmtId="0" fontId="16" fillId="0" borderId="52" xfId="0" applyNumberFormat="1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49" xfId="0" applyFont="1" applyFill="1" applyBorder="1" applyAlignment="1">
      <alignment horizontal="center" vertical="center" shrinkToFit="1"/>
    </xf>
    <xf numFmtId="0" fontId="13" fillId="0" borderId="51" xfId="0" applyFont="1" applyFill="1" applyBorder="1" applyAlignment="1">
      <alignment horizontal="center" vertical="center" shrinkToFit="1"/>
    </xf>
    <xf numFmtId="0" fontId="13" fillId="0" borderId="48" xfId="0" applyFont="1" applyFill="1" applyBorder="1" applyAlignment="1">
      <alignment horizontal="center" vertical="center" shrinkToFit="1"/>
    </xf>
    <xf numFmtId="0" fontId="13" fillId="0" borderId="53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58" xfId="0" applyFont="1" applyFill="1" applyBorder="1" applyAlignment="1">
      <alignment horizontal="center" vertical="center" shrinkToFit="1"/>
    </xf>
    <xf numFmtId="0" fontId="13" fillId="0" borderId="54" xfId="0" applyFont="1" applyFill="1" applyBorder="1" applyAlignment="1">
      <alignment horizontal="center" vertical="center" shrinkToFit="1"/>
    </xf>
    <xf numFmtId="0" fontId="13" fillId="0" borderId="47" xfId="0" applyFont="1" applyFill="1" applyBorder="1" applyAlignment="1">
      <alignment horizontal="center" vertical="center" shrinkToFit="1"/>
    </xf>
    <xf numFmtId="0" fontId="13" fillId="0" borderId="52" xfId="0" applyFont="1" applyFill="1" applyBorder="1" applyAlignment="1">
      <alignment horizontal="center" vertical="center" shrinkToFit="1"/>
    </xf>
    <xf numFmtId="0" fontId="16" fillId="0" borderId="86" xfId="0" applyFont="1" applyFill="1" applyBorder="1" applyAlignment="1">
      <alignment horizontal="center" vertical="center" shrinkToFit="1"/>
    </xf>
    <xf numFmtId="0" fontId="16" fillId="0" borderId="77" xfId="0" applyFont="1" applyFill="1" applyBorder="1" applyAlignment="1">
      <alignment horizontal="center" vertical="center" shrinkToFit="1"/>
    </xf>
    <xf numFmtId="0" fontId="11" fillId="0" borderId="68" xfId="0" applyFont="1" applyFill="1" applyBorder="1" applyAlignment="1">
      <alignment horizontal="left" vertical="center" indent="2"/>
    </xf>
    <xf numFmtId="0" fontId="11" fillId="0" borderId="67" xfId="0" applyFont="1" applyFill="1" applyBorder="1" applyAlignment="1">
      <alignment horizontal="left" vertical="center" indent="2"/>
    </xf>
    <xf numFmtId="0" fontId="11" fillId="0" borderId="2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left" vertical="center" indent="2"/>
    </xf>
    <xf numFmtId="0" fontId="11" fillId="0" borderId="38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left" vertical="center" indent="2"/>
    </xf>
    <xf numFmtId="0" fontId="0" fillId="0" borderId="0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52" xfId="0" applyBorder="1" applyAlignment="1">
      <alignment vertical="center"/>
    </xf>
    <xf numFmtId="20" fontId="16" fillId="0" borderId="40" xfId="0" applyNumberFormat="1" applyFont="1" applyFill="1" applyBorder="1" applyAlignment="1">
      <alignment horizontal="center" vertical="center" shrinkToFit="1"/>
    </xf>
    <xf numFmtId="20" fontId="16" fillId="0" borderId="15" xfId="0" applyNumberFormat="1" applyFont="1" applyFill="1" applyBorder="1" applyAlignment="1">
      <alignment horizontal="center" vertical="center" shrinkToFit="1"/>
    </xf>
    <xf numFmtId="20" fontId="16" fillId="0" borderId="41" xfId="0" applyNumberFormat="1" applyFont="1" applyFill="1" applyBorder="1" applyAlignment="1">
      <alignment horizontal="center" vertical="center" shrinkToFit="1"/>
    </xf>
    <xf numFmtId="20" fontId="16" fillId="0" borderId="72" xfId="0" applyNumberFormat="1" applyFont="1" applyFill="1" applyBorder="1" applyAlignment="1">
      <alignment horizontal="center" vertical="center" shrinkToFit="1"/>
    </xf>
    <xf numFmtId="20" fontId="16" fillId="0" borderId="73" xfId="0" applyNumberFormat="1" applyFont="1" applyFill="1" applyBorder="1" applyAlignment="1">
      <alignment horizontal="center" vertical="center" shrinkToFit="1"/>
    </xf>
    <xf numFmtId="20" fontId="16" fillId="0" borderId="74" xfId="0" applyNumberFormat="1" applyFont="1" applyFill="1" applyBorder="1" applyAlignment="1">
      <alignment horizontal="center" vertical="center" shrinkToFit="1"/>
    </xf>
    <xf numFmtId="0" fontId="11" fillId="0" borderId="4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55" fillId="0" borderId="0" xfId="0" applyNumberFormat="1" applyFont="1" applyBorder="1" applyAlignment="1">
      <alignment horizontal="center" vertical="center" shrinkToFit="1"/>
    </xf>
    <xf numFmtId="0" fontId="55" fillId="0" borderId="49" xfId="0" applyNumberFormat="1" applyFont="1" applyBorder="1" applyAlignment="1">
      <alignment horizontal="center" vertical="center" shrinkToFit="1"/>
    </xf>
    <xf numFmtId="0" fontId="55" fillId="0" borderId="47" xfId="0" applyNumberFormat="1" applyFont="1" applyBorder="1" applyAlignment="1">
      <alignment horizontal="center" vertical="center" shrinkToFit="1"/>
    </xf>
    <xf numFmtId="0" fontId="55" fillId="0" borderId="48" xfId="0" applyNumberFormat="1" applyFont="1" applyBorder="1" applyAlignment="1">
      <alignment horizontal="center" vertical="center" shrinkToFit="1"/>
    </xf>
    <xf numFmtId="0" fontId="55" fillId="0" borderId="58" xfId="0" applyNumberFormat="1" applyFont="1" applyBorder="1" applyAlignment="1">
      <alignment horizontal="center" vertical="center" shrinkToFit="1"/>
    </xf>
    <xf numFmtId="0" fontId="55" fillId="0" borderId="51" xfId="0" applyNumberFormat="1" applyFont="1" applyBorder="1" applyAlignment="1">
      <alignment horizontal="center" vertical="center" shrinkToFit="1"/>
    </xf>
    <xf numFmtId="0" fontId="55" fillId="0" borderId="52" xfId="0" applyNumberFormat="1" applyFont="1" applyBorder="1" applyAlignment="1">
      <alignment horizontal="center" vertical="center" shrinkToFit="1"/>
    </xf>
    <xf numFmtId="20" fontId="16" fillId="0" borderId="65" xfId="0" applyNumberFormat="1" applyFont="1" applyFill="1" applyBorder="1" applyAlignment="1">
      <alignment horizontal="center" vertical="center" shrinkToFit="1"/>
    </xf>
    <xf numFmtId="0" fontId="16" fillId="0" borderId="40" xfId="0" applyFont="1" applyFill="1" applyBorder="1" applyAlignment="1">
      <alignment horizontal="center" vertical="center" shrinkToFit="1"/>
    </xf>
    <xf numFmtId="0" fontId="16" fillId="0" borderId="72" xfId="0" applyFont="1" applyFill="1" applyBorder="1" applyAlignment="1">
      <alignment horizontal="center" vertical="center" shrinkToFit="1"/>
    </xf>
    <xf numFmtId="0" fontId="11" fillId="0" borderId="65" xfId="0" applyFont="1" applyBorder="1" applyAlignment="1">
      <alignment vertical="center"/>
    </xf>
    <xf numFmtId="0" fontId="0" fillId="0" borderId="65" xfId="0" applyBorder="1" applyAlignment="1">
      <alignment vertical="center"/>
    </xf>
    <xf numFmtId="0" fontId="16" fillId="0" borderId="65" xfId="0" applyNumberFormat="1" applyFont="1" applyFill="1" applyBorder="1" applyAlignment="1">
      <alignment horizontal="right" vertical="center" shrinkToFit="1"/>
    </xf>
    <xf numFmtId="0" fontId="55" fillId="0" borderId="65" xfId="0" applyNumberFormat="1" applyFont="1" applyBorder="1" applyAlignment="1">
      <alignment horizontal="right" vertical="center" shrinkToFit="1"/>
    </xf>
    <xf numFmtId="0" fontId="16" fillId="0" borderId="65" xfId="0" applyNumberFormat="1" applyFont="1" applyFill="1" applyBorder="1" applyAlignment="1">
      <alignment horizontal="left" vertical="center" shrinkToFit="1"/>
    </xf>
    <xf numFmtId="0" fontId="55" fillId="0" borderId="65" xfId="0" applyNumberFormat="1" applyFont="1" applyBorder="1" applyAlignment="1">
      <alignment horizontal="left" vertical="center" shrinkToFit="1"/>
    </xf>
    <xf numFmtId="0" fontId="56" fillId="0" borderId="65" xfId="0" applyFont="1" applyBorder="1" applyAlignment="1">
      <alignment horizontal="center" vertical="center"/>
    </xf>
    <xf numFmtId="0" fontId="55" fillId="0" borderId="65" xfId="0" applyFont="1" applyBorder="1" applyAlignment="1">
      <alignment horizontal="center" vertical="center"/>
    </xf>
    <xf numFmtId="0" fontId="7" fillId="18" borderId="1" xfId="21" applyFont="1" applyFill="1" applyBorder="1" applyAlignment="1" applyProtection="1">
      <alignment horizontal="center" vertical="center" shrinkToFit="1"/>
      <protection hidden="1"/>
    </xf>
    <xf numFmtId="0" fontId="7" fillId="18" borderId="4" xfId="21" applyFont="1" applyFill="1" applyBorder="1" applyAlignment="1" applyProtection="1">
      <alignment horizontal="center" vertical="center" shrinkToFit="1"/>
      <protection hidden="1"/>
    </xf>
    <xf numFmtId="0" fontId="7" fillId="18" borderId="2" xfId="21" applyFont="1" applyFill="1" applyBorder="1" applyAlignment="1" applyProtection="1">
      <alignment horizontal="center" vertical="center" shrinkToFit="1"/>
      <protection hidden="1"/>
    </xf>
    <xf numFmtId="0" fontId="7" fillId="18" borderId="13" xfId="21" applyFont="1" applyFill="1" applyBorder="1" applyAlignment="1" applyProtection="1">
      <alignment horizontal="center" vertical="center" shrinkToFit="1"/>
      <protection hidden="1"/>
    </xf>
    <xf numFmtId="0" fontId="7" fillId="18" borderId="15" xfId="21" applyFont="1" applyFill="1" applyBorder="1" applyAlignment="1" applyProtection="1">
      <alignment horizontal="center" vertical="center" shrinkToFit="1"/>
      <protection hidden="1"/>
    </xf>
    <xf numFmtId="0" fontId="7" fillId="18" borderId="23" xfId="21" applyFont="1" applyFill="1" applyBorder="1" applyAlignment="1" applyProtection="1">
      <alignment horizontal="center" vertical="center" shrinkToFit="1"/>
      <protection hidden="1"/>
    </xf>
    <xf numFmtId="0" fontId="7" fillId="0" borderId="2" xfId="21" applyFont="1" applyFill="1" applyBorder="1" applyAlignment="1" applyProtection="1">
      <alignment horizontal="center" vertical="center" shrinkToFit="1"/>
      <protection hidden="1"/>
    </xf>
    <xf numFmtId="0" fontId="7" fillId="0" borderId="23" xfId="21" applyFont="1" applyFill="1" applyBorder="1" applyAlignment="1" applyProtection="1">
      <alignment horizontal="center" vertical="center" shrinkToFit="1"/>
      <protection hidden="1"/>
    </xf>
    <xf numFmtId="0" fontId="7" fillId="4" borderId="2" xfId="21" applyFont="1" applyFill="1" applyBorder="1" applyAlignment="1" applyProtection="1">
      <alignment horizontal="center" vertical="center" shrinkToFit="1"/>
      <protection hidden="1"/>
    </xf>
    <xf numFmtId="0" fontId="7" fillId="4" borderId="23" xfId="21" applyFont="1" applyFill="1" applyBorder="1" applyAlignment="1" applyProtection="1">
      <alignment horizontal="center" vertical="center" shrinkToFit="1"/>
      <protection hidden="1"/>
    </xf>
    <xf numFmtId="0" fontId="7" fillId="0" borderId="4" xfId="21" applyFont="1" applyFill="1" applyBorder="1" applyAlignment="1" applyProtection="1">
      <alignment horizontal="center" vertical="center" shrinkToFit="1"/>
      <protection hidden="1"/>
    </xf>
    <xf numFmtId="0" fontId="7" fillId="0" borderId="15" xfId="21" applyFont="1" applyFill="1" applyBorder="1" applyAlignment="1" applyProtection="1">
      <alignment horizontal="center" vertical="center" shrinkToFit="1"/>
      <protection hidden="1"/>
    </xf>
    <xf numFmtId="0" fontId="7" fillId="4" borderId="4" xfId="21" applyFont="1" applyFill="1" applyBorder="1" applyAlignment="1" applyProtection="1">
      <alignment horizontal="center" vertical="center" shrinkToFit="1"/>
      <protection hidden="1"/>
    </xf>
    <xf numFmtId="0" fontId="7" fillId="4" borderId="15" xfId="21" applyFont="1" applyFill="1" applyBorder="1" applyAlignment="1" applyProtection="1">
      <alignment horizontal="center" vertical="center" shrinkToFit="1"/>
      <protection hidden="1"/>
    </xf>
    <xf numFmtId="0" fontId="7" fillId="5" borderId="4" xfId="21" applyFont="1" applyFill="1" applyBorder="1" applyAlignment="1" applyProtection="1">
      <alignment horizontal="center" vertical="center" shrinkToFit="1"/>
      <protection hidden="1"/>
    </xf>
    <xf numFmtId="0" fontId="7" fillId="5" borderId="15" xfId="21" applyFont="1" applyFill="1" applyBorder="1" applyAlignment="1" applyProtection="1">
      <alignment horizontal="center" vertical="center" shrinkToFit="1"/>
      <protection hidden="1"/>
    </xf>
    <xf numFmtId="0" fontId="7" fillId="0" borderId="2" xfId="0" applyFont="1" applyFill="1" applyBorder="1" applyAlignment="1" applyProtection="1">
      <alignment horizontal="center" vertical="center" shrinkToFit="1"/>
      <protection hidden="1"/>
    </xf>
    <xf numFmtId="0" fontId="7" fillId="0" borderId="23" xfId="0" applyFont="1" applyFill="1" applyBorder="1" applyAlignment="1" applyProtection="1">
      <alignment horizontal="center" vertical="center" shrinkToFit="1"/>
      <protection hidden="1"/>
    </xf>
    <xf numFmtId="0" fontId="8" fillId="0" borderId="20" xfId="29" applyFont="1" applyFill="1" applyBorder="1" applyAlignment="1" applyProtection="1">
      <alignment horizontal="center" vertical="center" shrinkToFit="1"/>
      <protection hidden="1"/>
    </xf>
    <xf numFmtId="0" fontId="8" fillId="0" borderId="12" xfId="29" applyFont="1" applyFill="1" applyBorder="1" applyAlignment="1" applyProtection="1">
      <alignment horizontal="center" vertical="center" shrinkToFit="1"/>
      <protection hidden="1"/>
    </xf>
    <xf numFmtId="0" fontId="8" fillId="0" borderId="36" xfId="29" applyFont="1" applyFill="1" applyBorder="1" applyAlignment="1" applyProtection="1">
      <alignment horizontal="center" vertical="center" shrinkToFit="1"/>
      <protection hidden="1"/>
    </xf>
    <xf numFmtId="0" fontId="8" fillId="0" borderId="12" xfId="0" applyFont="1" applyFill="1" applyBorder="1" applyAlignment="1" applyProtection="1">
      <alignment horizontal="center" vertical="center" shrinkToFit="1"/>
      <protection hidden="1"/>
    </xf>
    <xf numFmtId="0" fontId="9" fillId="0" borderId="12" xfId="0" applyFont="1" applyFill="1" applyBorder="1" applyAlignment="1" applyProtection="1">
      <alignment horizontal="center" vertical="center" shrinkToFit="1"/>
      <protection hidden="1"/>
    </xf>
    <xf numFmtId="181" fontId="8" fillId="0" borderId="20" xfId="29" applyNumberFormat="1" applyFont="1" applyFill="1" applyBorder="1" applyAlignment="1" applyProtection="1">
      <alignment horizontal="center" vertical="center" shrinkToFit="1"/>
      <protection hidden="1"/>
    </xf>
    <xf numFmtId="181" fontId="8" fillId="0" borderId="12" xfId="29" applyNumberFormat="1" applyFont="1" applyFill="1" applyBorder="1" applyAlignment="1" applyProtection="1">
      <alignment horizontal="center" vertical="center" shrinkToFit="1"/>
      <protection hidden="1"/>
    </xf>
    <xf numFmtId="181" fontId="8" fillId="0" borderId="22" xfId="29" applyNumberFormat="1" applyFont="1" applyFill="1" applyBorder="1" applyAlignment="1" applyProtection="1">
      <alignment horizontal="center" vertical="center" shrinkToFit="1"/>
      <protection hidden="1"/>
    </xf>
    <xf numFmtId="181" fontId="8" fillId="0" borderId="13" xfId="29" applyNumberFormat="1" applyFont="1" applyFill="1" applyBorder="1" applyAlignment="1" applyProtection="1">
      <alignment horizontal="center" vertical="center" shrinkToFit="1"/>
      <protection hidden="1"/>
    </xf>
    <xf numFmtId="0" fontId="7" fillId="0" borderId="34" xfId="21" applyFont="1" applyFill="1" applyBorder="1" applyAlignment="1" applyProtection="1">
      <alignment horizontal="center" vertical="center" shrinkToFit="1"/>
      <protection hidden="1"/>
    </xf>
    <xf numFmtId="0" fontId="7" fillId="0" borderId="35" xfId="21" applyFont="1" applyFill="1" applyBorder="1" applyAlignment="1" applyProtection="1">
      <alignment horizontal="center" vertical="center" shrinkToFit="1"/>
      <protection hidden="1"/>
    </xf>
    <xf numFmtId="0" fontId="7" fillId="0" borderId="30" xfId="21" applyFont="1" applyFill="1" applyBorder="1" applyAlignment="1" applyProtection="1">
      <alignment horizontal="center" vertical="center" shrinkToFit="1"/>
      <protection hidden="1"/>
    </xf>
    <xf numFmtId="0" fontId="7" fillId="0" borderId="33" xfId="21" applyFont="1" applyFill="1" applyBorder="1" applyAlignment="1" applyProtection="1">
      <alignment horizontal="center" vertical="center" shrinkToFit="1"/>
      <protection hidden="1"/>
    </xf>
    <xf numFmtId="0" fontId="7" fillId="0" borderId="29" xfId="21" applyFont="1" applyFill="1" applyBorder="1" applyAlignment="1" applyProtection="1">
      <alignment horizontal="center" vertical="center" shrinkToFit="1"/>
      <protection hidden="1"/>
    </xf>
    <xf numFmtId="0" fontId="7" fillId="0" borderId="32" xfId="21" applyFont="1" applyFill="1" applyBorder="1" applyAlignment="1" applyProtection="1">
      <alignment horizontal="center" vertical="center" shrinkToFit="1"/>
      <protection hidden="1"/>
    </xf>
    <xf numFmtId="0" fontId="7" fillId="4" borderId="28" xfId="21" applyFont="1" applyFill="1" applyBorder="1" applyAlignment="1" applyProtection="1">
      <alignment horizontal="center" vertical="center" shrinkToFit="1"/>
      <protection hidden="1"/>
    </xf>
    <xf numFmtId="0" fontId="7" fillId="4" borderId="31" xfId="21" applyFont="1" applyFill="1" applyBorder="1" applyAlignment="1" applyProtection="1">
      <alignment horizontal="center" vertical="center" shrinkToFit="1"/>
      <protection hidden="1"/>
    </xf>
    <xf numFmtId="0" fontId="7" fillId="0" borderId="28" xfId="21" applyFont="1" applyFill="1" applyBorder="1" applyAlignment="1" applyProtection="1">
      <alignment horizontal="center" vertical="center" shrinkToFit="1"/>
      <protection hidden="1"/>
    </xf>
    <xf numFmtId="0" fontId="7" fillId="0" borderId="31" xfId="21" applyFont="1" applyFill="1" applyBorder="1" applyAlignment="1" applyProtection="1">
      <alignment horizontal="center" vertical="center" shrinkToFit="1"/>
      <protection hidden="1"/>
    </xf>
    <xf numFmtId="0" fontId="7" fillId="0" borderId="69" xfId="21" applyFont="1" applyFill="1" applyBorder="1" applyAlignment="1" applyProtection="1">
      <alignment horizontal="center" vertical="center" shrinkToFit="1"/>
      <protection hidden="1"/>
    </xf>
    <xf numFmtId="0" fontId="7" fillId="0" borderId="13" xfId="21" applyFont="1" applyFill="1" applyBorder="1" applyAlignment="1" applyProtection="1">
      <alignment horizontal="center" vertical="center" shrinkToFit="1"/>
      <protection hidden="1"/>
    </xf>
    <xf numFmtId="0" fontId="7" fillId="5" borderId="2" xfId="21" applyFont="1" applyFill="1" applyBorder="1" applyAlignment="1" applyProtection="1">
      <alignment horizontal="center" vertical="center" shrinkToFit="1"/>
      <protection hidden="1"/>
    </xf>
    <xf numFmtId="0" fontId="7" fillId="5" borderId="23" xfId="21" applyFont="1" applyFill="1" applyBorder="1" applyAlignment="1" applyProtection="1">
      <alignment horizontal="center" vertical="center" shrinkToFit="1"/>
      <protection hidden="1"/>
    </xf>
    <xf numFmtId="0" fontId="7" fillId="0" borderId="25" xfId="21" applyFont="1" applyFill="1" applyBorder="1" applyAlignment="1" applyProtection="1">
      <alignment horizontal="center" vertical="center" shrinkToFit="1"/>
      <protection hidden="1"/>
    </xf>
    <xf numFmtId="0" fontId="7" fillId="0" borderId="27" xfId="21" applyFont="1" applyFill="1" applyBorder="1" applyAlignment="1" applyProtection="1">
      <alignment horizontal="center" vertical="center" shrinkToFit="1"/>
      <protection hidden="1"/>
    </xf>
    <xf numFmtId="0" fontId="7" fillId="4" borderId="25" xfId="21" applyFont="1" applyFill="1" applyBorder="1" applyAlignment="1" applyProtection="1">
      <alignment horizontal="center" vertical="center" shrinkToFit="1"/>
      <protection hidden="1"/>
    </xf>
    <xf numFmtId="0" fontId="7" fillId="4" borderId="27" xfId="21" applyFont="1" applyFill="1" applyBorder="1" applyAlignment="1" applyProtection="1">
      <alignment horizontal="center" vertical="center" shrinkToFit="1"/>
      <protection hidden="1"/>
    </xf>
    <xf numFmtId="0" fontId="7" fillId="5" borderId="25" xfId="21" applyFont="1" applyFill="1" applyBorder="1" applyAlignment="1" applyProtection="1">
      <alignment horizontal="center" vertical="center" shrinkToFit="1"/>
      <protection hidden="1"/>
    </xf>
    <xf numFmtId="0" fontId="7" fillId="5" borderId="27" xfId="21" applyFont="1" applyFill="1" applyBorder="1" applyAlignment="1" applyProtection="1">
      <alignment horizontal="center" vertical="center" shrinkToFit="1"/>
      <protection hidden="1"/>
    </xf>
    <xf numFmtId="0" fontId="7" fillId="0" borderId="24" xfId="21" applyFont="1" applyFill="1" applyBorder="1" applyAlignment="1" applyProtection="1">
      <alignment horizontal="center" vertical="center" shrinkToFit="1"/>
      <protection hidden="1"/>
    </xf>
    <xf numFmtId="0" fontId="7" fillId="0" borderId="26" xfId="21" applyFont="1" applyFill="1" applyBorder="1" applyAlignment="1" applyProtection="1">
      <alignment horizontal="center" vertical="center" shrinkToFit="1"/>
      <protection hidden="1"/>
    </xf>
    <xf numFmtId="0" fontId="7" fillId="0" borderId="4" xfId="0" applyFont="1" applyFill="1" applyBorder="1" applyAlignment="1" applyProtection="1">
      <alignment horizontal="center" vertical="center" shrinkToFit="1"/>
      <protection hidden="1"/>
    </xf>
    <xf numFmtId="0" fontId="7" fillId="0" borderId="15" xfId="0" applyFont="1" applyFill="1" applyBorder="1" applyAlignment="1" applyProtection="1">
      <alignment horizontal="center" vertical="center" shrinkToFit="1"/>
      <protection hidden="1"/>
    </xf>
    <xf numFmtId="0" fontId="7" fillId="0" borderId="25" xfId="0" applyFont="1" applyFill="1" applyBorder="1" applyAlignment="1" applyProtection="1">
      <alignment horizontal="center" vertical="center" shrinkToFit="1"/>
      <protection hidden="1"/>
    </xf>
    <xf numFmtId="0" fontId="7" fillId="0" borderId="27" xfId="0" applyFont="1" applyFill="1" applyBorder="1" applyAlignment="1" applyProtection="1">
      <alignment horizontal="center" vertical="center" shrinkToFit="1"/>
      <protection hidden="1"/>
    </xf>
    <xf numFmtId="0" fontId="7" fillId="0" borderId="24" xfId="0" applyFont="1" applyFill="1" applyBorder="1" applyAlignment="1" applyProtection="1">
      <alignment horizontal="center" vertical="center" shrinkToFit="1"/>
      <protection hidden="1"/>
    </xf>
    <xf numFmtId="0" fontId="7" fillId="0" borderId="26" xfId="0" applyFont="1" applyFill="1" applyBorder="1" applyAlignment="1" applyProtection="1">
      <alignment horizontal="center" vertical="center" shrinkToFit="1"/>
      <protection hidden="1"/>
    </xf>
    <xf numFmtId="0" fontId="7" fillId="4" borderId="25" xfId="21" applyNumberFormat="1" applyFont="1" applyFill="1" applyBorder="1" applyAlignment="1" applyProtection="1">
      <alignment horizontal="center" vertical="center" shrinkToFit="1"/>
      <protection hidden="1"/>
    </xf>
    <xf numFmtId="0" fontId="7" fillId="4" borderId="27" xfId="21" applyNumberFormat="1" applyFont="1" applyFill="1" applyBorder="1" applyAlignment="1" applyProtection="1">
      <alignment horizontal="center" vertical="center" shrinkToFit="1"/>
      <protection hidden="1"/>
    </xf>
    <xf numFmtId="0" fontId="7" fillId="0" borderId="25" xfId="21" applyNumberFormat="1" applyFont="1" applyFill="1" applyBorder="1" applyAlignment="1" applyProtection="1">
      <alignment horizontal="center" vertical="center" shrinkToFit="1"/>
      <protection hidden="1"/>
    </xf>
    <xf numFmtId="0" fontId="7" fillId="0" borderId="27" xfId="21" applyNumberFormat="1" applyFont="1" applyFill="1" applyBorder="1" applyAlignment="1" applyProtection="1">
      <alignment horizontal="center" vertical="center" shrinkToFit="1"/>
      <protection hidden="1"/>
    </xf>
    <xf numFmtId="49" fontId="7" fillId="0" borderId="1" xfId="21" applyNumberFormat="1" applyFont="1" applyFill="1" applyBorder="1" applyAlignment="1" applyProtection="1">
      <alignment vertical="center" shrinkToFit="1"/>
      <protection hidden="1"/>
    </xf>
    <xf numFmtId="49" fontId="7" fillId="0" borderId="4" xfId="21" applyNumberFormat="1" applyFont="1" applyFill="1" applyBorder="1" applyAlignment="1" applyProtection="1">
      <alignment vertical="center" shrinkToFit="1"/>
      <protection hidden="1"/>
    </xf>
    <xf numFmtId="49" fontId="7" fillId="0" borderId="2" xfId="21" applyNumberFormat="1" applyFont="1" applyFill="1" applyBorder="1" applyAlignment="1" applyProtection="1">
      <alignment vertical="center" shrinkToFit="1"/>
      <protection hidden="1"/>
    </xf>
    <xf numFmtId="0" fontId="7" fillId="0" borderId="13" xfId="21" applyNumberFormat="1" applyFont="1" applyFill="1" applyBorder="1" applyAlignment="1" applyProtection="1">
      <alignment horizontal="center" vertical="center" shrinkToFit="1"/>
      <protection hidden="1"/>
    </xf>
    <xf numFmtId="0" fontId="7" fillId="0" borderId="15" xfId="21" applyNumberFormat="1" applyFont="1" applyFill="1" applyBorder="1" applyAlignment="1" applyProtection="1">
      <alignment horizontal="center" vertical="center" shrinkToFit="1"/>
      <protection hidden="1"/>
    </xf>
    <xf numFmtId="0" fontId="7" fillId="0" borderId="23" xfId="21" applyNumberFormat="1" applyFont="1" applyFill="1" applyBorder="1" applyAlignment="1" applyProtection="1">
      <alignment horizontal="center" vertical="center" shrinkToFit="1"/>
      <protection hidden="1"/>
    </xf>
    <xf numFmtId="0" fontId="7" fillId="0" borderId="20" xfId="21" applyFont="1" applyFill="1" applyBorder="1" applyAlignment="1" applyProtection="1">
      <alignment horizontal="center" vertical="center" shrinkToFit="1"/>
      <protection hidden="1"/>
    </xf>
    <xf numFmtId="0" fontId="7" fillId="0" borderId="65" xfId="21" applyFont="1" applyFill="1" applyBorder="1" applyAlignment="1" applyProtection="1">
      <alignment horizontal="center" vertical="center" shrinkToFit="1"/>
      <protection hidden="1"/>
    </xf>
    <xf numFmtId="0" fontId="54" fillId="0" borderId="13" xfId="21" applyNumberFormat="1" applyFont="1" applyFill="1" applyBorder="1" applyAlignment="1" applyProtection="1">
      <alignment horizontal="center" vertical="center" shrinkToFit="1"/>
      <protection hidden="1"/>
    </xf>
    <xf numFmtId="0" fontId="54" fillId="0" borderId="15" xfId="21" applyNumberFormat="1" applyFont="1" applyFill="1" applyBorder="1" applyAlignment="1" applyProtection="1">
      <alignment horizontal="center" vertical="center" shrinkToFit="1"/>
      <protection hidden="1"/>
    </xf>
    <xf numFmtId="0" fontId="54" fillId="0" borderId="23" xfId="21" applyNumberFormat="1" applyFont="1" applyFill="1" applyBorder="1" applyAlignment="1" applyProtection="1">
      <alignment horizontal="center" vertical="center" shrinkToFit="1"/>
      <protection hidden="1"/>
    </xf>
    <xf numFmtId="0" fontId="6" fillId="0" borderId="0" xfId="21" applyFont="1" applyFill="1" applyAlignment="1" applyProtection="1">
      <alignment horizontal="center" vertical="center" shrinkToFit="1"/>
      <protection hidden="1"/>
    </xf>
    <xf numFmtId="0" fontId="52" fillId="0" borderId="0" xfId="29" applyFill="1" applyAlignment="1" applyProtection="1">
      <alignment vertical="center" shrinkToFit="1"/>
      <protection hidden="1"/>
    </xf>
    <xf numFmtId="0" fontId="7" fillId="0" borderId="66" xfId="21" applyFont="1" applyFill="1" applyBorder="1" applyAlignment="1" applyProtection="1">
      <alignment horizontal="center" vertical="center" shrinkToFit="1"/>
      <protection hidden="1"/>
    </xf>
    <xf numFmtId="0" fontId="7" fillId="0" borderId="9" xfId="21" applyFont="1" applyFill="1" applyBorder="1" applyAlignment="1" applyProtection="1">
      <alignment horizontal="center" vertical="center" shrinkToFit="1"/>
      <protection hidden="1"/>
    </xf>
    <xf numFmtId="0" fontId="7" fillId="0" borderId="67" xfId="21" applyFont="1" applyFill="1" applyBorder="1" applyAlignment="1" applyProtection="1">
      <alignment horizontal="center" vertical="center" shrinkToFit="1"/>
      <protection hidden="1"/>
    </xf>
    <xf numFmtId="0" fontId="2" fillId="0" borderId="15" xfId="21" applyFont="1" applyFill="1" applyBorder="1" applyAlignment="1" applyProtection="1">
      <alignment horizontal="center" vertical="center" shrinkToFit="1"/>
      <protection hidden="1"/>
    </xf>
    <xf numFmtId="0" fontId="7" fillId="5" borderId="28" xfId="21" applyFont="1" applyFill="1" applyBorder="1" applyAlignment="1" applyProtection="1">
      <alignment horizontal="center" vertical="center" shrinkToFit="1"/>
      <protection hidden="1"/>
    </xf>
    <xf numFmtId="0" fontId="7" fillId="5" borderId="31" xfId="21" applyFont="1" applyFill="1" applyBorder="1" applyAlignment="1" applyProtection="1">
      <alignment horizontal="center" vertical="center" shrinkToFit="1"/>
      <protection hidden="1"/>
    </xf>
    <xf numFmtId="0" fontId="1" fillId="2" borderId="1" xfId="21" applyFill="1" applyBorder="1" applyAlignment="1">
      <alignment horizontal="center" vertical="center"/>
    </xf>
    <xf numFmtId="0" fontId="1" fillId="2" borderId="2" xfId="21" applyFill="1" applyBorder="1" applyAlignment="1">
      <alignment horizontal="center" vertical="center"/>
    </xf>
    <xf numFmtId="0" fontId="2" fillId="0" borderId="0" xfId="21" applyFont="1" applyAlignment="1" applyProtection="1">
      <alignment horizontal="center" vertical="center"/>
      <protection locked="0"/>
    </xf>
    <xf numFmtId="0" fontId="1" fillId="0" borderId="0" xfId="21" applyAlignment="1">
      <alignment vertical="center"/>
    </xf>
    <xf numFmtId="0" fontId="0" fillId="0" borderId="0" xfId="0" applyAlignment="1">
      <alignment vertical="center"/>
    </xf>
    <xf numFmtId="0" fontId="1" fillId="0" borderId="0" xfId="21" applyFont="1" applyBorder="1" applyAlignment="1" applyProtection="1">
      <alignment horizontal="left"/>
      <protection hidden="1"/>
    </xf>
    <xf numFmtId="0" fontId="1" fillId="0" borderId="0" xfId="2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21" applyFont="1" applyBorder="1" applyAlignment="1" applyProtection="1">
      <alignment horizontal="center"/>
      <protection hidden="1"/>
    </xf>
    <xf numFmtId="0" fontId="1" fillId="0" borderId="0" xfId="21" applyAlignment="1">
      <alignment horizontal="center" vertical="center"/>
    </xf>
  </cellXfs>
  <cellStyles count="36">
    <cellStyle name="20% - アクセント 1 2" xfId="9" xr:uid="{00000000-0005-0000-0000-000000000000}"/>
    <cellStyle name="20% - アクセント 2 2" xfId="10" xr:uid="{00000000-0005-0000-0000-000001000000}"/>
    <cellStyle name="20% - アクセント 3 2" xfId="8" xr:uid="{00000000-0005-0000-0000-000002000000}"/>
    <cellStyle name="20% - アクセント 4 2" xfId="11" xr:uid="{00000000-0005-0000-0000-000003000000}"/>
    <cellStyle name="20% - アクセント 5 2" xfId="3" xr:uid="{00000000-0005-0000-0000-000004000000}"/>
    <cellStyle name="20% - アクセント 6 2" xfId="12" xr:uid="{00000000-0005-0000-0000-000005000000}"/>
    <cellStyle name="40% - アクセント 1 2" xfId="5" xr:uid="{00000000-0005-0000-0000-000006000000}"/>
    <cellStyle name="40% - アクセント 2 2" xfId="13" xr:uid="{00000000-0005-0000-0000-000007000000}"/>
    <cellStyle name="40% - アクセント 3 2" xfId="7" xr:uid="{00000000-0005-0000-0000-000008000000}"/>
    <cellStyle name="40% - アクセント 4 2" xfId="1" xr:uid="{00000000-0005-0000-0000-000009000000}"/>
    <cellStyle name="40% - アクセント 5 2" xfId="14" xr:uid="{00000000-0005-0000-0000-00000A000000}"/>
    <cellStyle name="40% - アクセント 6 2" xfId="6" xr:uid="{00000000-0005-0000-0000-00000B000000}"/>
    <cellStyle name="Excel Built-in Normal" xfId="4" xr:uid="{00000000-0005-0000-0000-00000C000000}"/>
    <cellStyle name="ハイパーリンク 2" xfId="15" xr:uid="{00000000-0005-0000-0000-00000D000000}"/>
    <cellStyle name="ハイパーリンク 3" xfId="16" xr:uid="{00000000-0005-0000-0000-00000E000000}"/>
    <cellStyle name="ハイパーリンク 4" xfId="17" xr:uid="{00000000-0005-0000-0000-00000F000000}"/>
    <cellStyle name="メモ 2" xfId="18" xr:uid="{00000000-0005-0000-0000-000010000000}"/>
    <cellStyle name="通貨 2" xfId="19" xr:uid="{00000000-0005-0000-0000-000011000000}"/>
    <cellStyle name="通貨 2 2" xfId="20" xr:uid="{00000000-0005-0000-0000-000012000000}"/>
    <cellStyle name="標準" xfId="0" builtinId="0"/>
    <cellStyle name="標準 10" xfId="35" xr:uid="{05367ED5-9659-4CAC-AC04-8793385FD1EC}"/>
    <cellStyle name="標準 2" xfId="21" xr:uid="{00000000-0005-0000-0000-000014000000}"/>
    <cellStyle name="標準 2 2" xfId="22" xr:uid="{00000000-0005-0000-0000-000015000000}"/>
    <cellStyle name="標準 2 2 2" xfId="23" xr:uid="{00000000-0005-0000-0000-000016000000}"/>
    <cellStyle name="標準 2_2015-U12後期（会場変更）" xfId="24" xr:uid="{00000000-0005-0000-0000-000017000000}"/>
    <cellStyle name="標準 3" xfId="25" xr:uid="{00000000-0005-0000-0000-000018000000}"/>
    <cellStyle name="標準 4" xfId="26" xr:uid="{00000000-0005-0000-0000-000019000000}"/>
    <cellStyle name="標準 4 2" xfId="27" xr:uid="{00000000-0005-0000-0000-00001A000000}"/>
    <cellStyle name="標準 5" xfId="28" xr:uid="{00000000-0005-0000-0000-00001B000000}"/>
    <cellStyle name="標準 5 2" xfId="29" xr:uid="{00000000-0005-0000-0000-00001C000000}"/>
    <cellStyle name="標準 6" xfId="30" xr:uid="{00000000-0005-0000-0000-00001D000000}"/>
    <cellStyle name="標準 7" xfId="2" xr:uid="{00000000-0005-0000-0000-00001E000000}"/>
    <cellStyle name="標準 7 2" xfId="31" xr:uid="{00000000-0005-0000-0000-00001F000000}"/>
    <cellStyle name="標準 8" xfId="32" xr:uid="{00000000-0005-0000-0000-000020000000}"/>
    <cellStyle name="標準 9" xfId="33" xr:uid="{00000000-0005-0000-0000-000021000000}"/>
    <cellStyle name="標準_２７年大会・リーグ戦参加表４" xfId="34" xr:uid="{00000000-0005-0000-0000-000022000000}"/>
  </cellStyles>
  <dxfs count="4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/>
  <colors>
    <mruColors>
      <color rgb="FF99CC00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91</xdr:row>
      <xdr:rowOff>63500</xdr:rowOff>
    </xdr:from>
    <xdr:to>
      <xdr:col>5</xdr:col>
      <xdr:colOff>127000</xdr:colOff>
      <xdr:row>91</xdr:row>
      <xdr:rowOff>304800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828675" y="23141305"/>
          <a:ext cx="488950" cy="2413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152400</xdr:colOff>
      <xdr:row>92</xdr:row>
      <xdr:rowOff>88900</xdr:rowOff>
    </xdr:from>
    <xdr:to>
      <xdr:col>5</xdr:col>
      <xdr:colOff>165100</xdr:colOff>
      <xdr:row>92</xdr:row>
      <xdr:rowOff>330200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866775" y="23547705"/>
          <a:ext cx="488950" cy="2413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136525</xdr:colOff>
      <xdr:row>90</xdr:row>
      <xdr:rowOff>114300</xdr:rowOff>
    </xdr:from>
    <xdr:to>
      <xdr:col>2</xdr:col>
      <xdr:colOff>149225</xdr:colOff>
      <xdr:row>90</xdr:row>
      <xdr:rowOff>355600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36525" y="22459950"/>
          <a:ext cx="488950" cy="2413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95250</xdr:colOff>
      <xdr:row>59</xdr:row>
      <xdr:rowOff>114300</xdr:rowOff>
    </xdr:from>
    <xdr:to>
      <xdr:col>2</xdr:col>
      <xdr:colOff>107950</xdr:colOff>
      <xdr:row>59</xdr:row>
      <xdr:rowOff>355600</xdr:rowOff>
    </xdr:to>
    <xdr:sp macro="" textlink="">
      <xdr:nvSpPr>
        <xdr:cNvPr id="3" name="円/楕円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95250" y="14630400"/>
          <a:ext cx="488950" cy="2413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90</xdr:row>
      <xdr:rowOff>63500</xdr:rowOff>
    </xdr:from>
    <xdr:to>
      <xdr:col>5</xdr:col>
      <xdr:colOff>127000</xdr:colOff>
      <xdr:row>90</xdr:row>
      <xdr:rowOff>304800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828675" y="22767290"/>
          <a:ext cx="488950" cy="2413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165100</xdr:colOff>
      <xdr:row>90</xdr:row>
      <xdr:rowOff>88900</xdr:rowOff>
    </xdr:from>
    <xdr:to>
      <xdr:col>5</xdr:col>
      <xdr:colOff>177800</xdr:colOff>
      <xdr:row>90</xdr:row>
      <xdr:rowOff>330200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879475" y="22868890"/>
          <a:ext cx="488950" cy="2413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59</xdr:row>
      <xdr:rowOff>76200</xdr:rowOff>
    </xdr:from>
    <xdr:to>
      <xdr:col>5</xdr:col>
      <xdr:colOff>146050</xdr:colOff>
      <xdr:row>59</xdr:row>
      <xdr:rowOff>317500</xdr:rowOff>
    </xdr:to>
    <xdr:sp macro="" textlink="">
      <xdr:nvSpPr>
        <xdr:cNvPr id="2" name="円/楕円 4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847725" y="13677900"/>
          <a:ext cx="488950" cy="2413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3</xdr:row>
          <xdr:rowOff>19050</xdr:rowOff>
        </xdr:from>
        <xdr:to>
          <xdr:col>12</xdr:col>
          <xdr:colOff>762000</xdr:colOff>
          <xdr:row>4</xdr:row>
          <xdr:rowOff>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B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並べ替え並び替え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  <pageSetUpPr fitToPage="1"/>
  </sheetPr>
  <dimension ref="A1:L124"/>
  <sheetViews>
    <sheetView showGridLines="0" view="pageBreakPreview" zoomScaleNormal="100" zoomScaleSheetLayoutView="100" workbookViewId="0">
      <selection sqref="A1:L1"/>
    </sheetView>
  </sheetViews>
  <sheetFormatPr defaultColWidth="13.375" defaultRowHeight="13.5" customHeight="1" zeroHeight="1" x14ac:dyDescent="0.15"/>
  <cols>
    <col min="1" max="1" width="4" style="124" customWidth="1"/>
    <col min="2" max="2" width="6.75" style="125" customWidth="1"/>
    <col min="3" max="3" width="7.125" style="125" customWidth="1"/>
    <col min="4" max="4" width="4.75" style="125" customWidth="1"/>
    <col min="5" max="5" width="11.875" style="125" customWidth="1"/>
    <col min="6" max="6" width="4.75" style="125" customWidth="1"/>
    <col min="7" max="7" width="11.875" style="125" customWidth="1"/>
    <col min="8" max="8" width="4.75" style="125" customWidth="1"/>
    <col min="9" max="9" width="11.875" style="125" customWidth="1"/>
    <col min="10" max="10" width="4.75" style="125" customWidth="1"/>
    <col min="11" max="11" width="11.75" style="125" customWidth="1"/>
    <col min="12" max="12" width="11.875" style="125" customWidth="1"/>
    <col min="13" max="13" width="13.375" style="125" customWidth="1"/>
    <col min="14" max="16384" width="13.375" style="125"/>
  </cols>
  <sheetData>
    <row r="1" spans="1:12" ht="26.25" customHeight="1" x14ac:dyDescent="0.15">
      <c r="A1" s="398" t="s">
        <v>528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</row>
    <row r="2" spans="1:12" ht="21" customHeight="1" x14ac:dyDescent="0.25">
      <c r="B2" s="400" t="s">
        <v>529</v>
      </c>
      <c r="C2" s="401"/>
      <c r="D2" s="401"/>
      <c r="E2" s="401"/>
      <c r="F2" s="401"/>
      <c r="G2" s="401"/>
      <c r="H2" s="401"/>
      <c r="I2" s="401"/>
      <c r="J2" s="401"/>
      <c r="K2" s="401"/>
      <c r="L2" s="401"/>
    </row>
    <row r="3" spans="1:12" ht="14.25" customHeight="1" x14ac:dyDescent="0.15">
      <c r="B3" s="377"/>
      <c r="C3" s="378"/>
      <c r="D3" s="402" t="s">
        <v>109</v>
      </c>
      <c r="E3" s="403"/>
      <c r="F3" s="402" t="s">
        <v>110</v>
      </c>
      <c r="G3" s="403"/>
      <c r="H3" s="402" t="s">
        <v>111</v>
      </c>
      <c r="I3" s="403"/>
      <c r="J3" s="402" t="s">
        <v>112</v>
      </c>
      <c r="K3" s="403"/>
      <c r="L3" s="375" t="s">
        <v>113</v>
      </c>
    </row>
    <row r="4" spans="1:12" ht="14.25" customHeight="1" x14ac:dyDescent="0.15">
      <c r="B4" s="379"/>
      <c r="C4" s="380"/>
      <c r="D4" s="373" t="s">
        <v>114</v>
      </c>
      <c r="E4" s="374"/>
      <c r="F4" s="373" t="s">
        <v>115</v>
      </c>
      <c r="G4" s="374"/>
      <c r="H4" s="373" t="s">
        <v>115</v>
      </c>
      <c r="I4" s="374"/>
      <c r="J4" s="373" t="s">
        <v>115</v>
      </c>
      <c r="K4" s="374"/>
      <c r="L4" s="376"/>
    </row>
    <row r="5" spans="1:12" ht="14.25" hidden="1" customHeight="1" x14ac:dyDescent="0.15">
      <c r="B5" s="260" t="s">
        <v>116</v>
      </c>
      <c r="C5" s="144" t="s">
        <v>117</v>
      </c>
      <c r="D5" s="365" t="s">
        <v>118</v>
      </c>
      <c r="E5" s="366"/>
      <c r="F5" s="365" t="s">
        <v>119</v>
      </c>
      <c r="G5" s="366"/>
      <c r="H5" s="365" t="s">
        <v>119</v>
      </c>
      <c r="I5" s="366"/>
      <c r="J5" s="365" t="s">
        <v>118</v>
      </c>
      <c r="K5" s="366"/>
      <c r="L5" s="134"/>
    </row>
    <row r="6" spans="1:12" ht="14.25" hidden="1" customHeight="1" x14ac:dyDescent="0.15">
      <c r="B6" s="261"/>
      <c r="C6" s="144" t="s">
        <v>120</v>
      </c>
      <c r="D6" s="365" t="s">
        <v>118</v>
      </c>
      <c r="E6" s="366"/>
      <c r="F6" s="365" t="s">
        <v>118</v>
      </c>
      <c r="G6" s="366"/>
      <c r="H6" s="365" t="s">
        <v>119</v>
      </c>
      <c r="I6" s="366"/>
      <c r="J6" s="365" t="s">
        <v>119</v>
      </c>
      <c r="K6" s="366"/>
      <c r="L6" s="134"/>
    </row>
    <row r="7" spans="1:12" ht="14.25" hidden="1" customHeight="1" x14ac:dyDescent="0.15">
      <c r="B7" s="261"/>
      <c r="C7" s="144" t="s">
        <v>121</v>
      </c>
      <c r="D7" s="363" t="s">
        <v>118</v>
      </c>
      <c r="E7" s="364"/>
      <c r="F7" s="365" t="s">
        <v>119</v>
      </c>
      <c r="G7" s="366"/>
      <c r="H7" s="365" t="s">
        <v>118</v>
      </c>
      <c r="I7" s="366"/>
      <c r="J7" s="365" t="s">
        <v>119</v>
      </c>
      <c r="K7" s="366"/>
      <c r="L7" s="134"/>
    </row>
    <row r="8" spans="1:12" ht="14.25" hidden="1" customHeight="1" x14ac:dyDescent="0.15">
      <c r="B8" s="261"/>
      <c r="C8" s="144" t="s">
        <v>122</v>
      </c>
      <c r="D8" s="365" t="s">
        <v>118</v>
      </c>
      <c r="E8" s="366"/>
      <c r="F8" s="365" t="s">
        <v>118</v>
      </c>
      <c r="G8" s="366"/>
      <c r="H8" s="365" t="s">
        <v>118</v>
      </c>
      <c r="I8" s="366"/>
      <c r="J8" s="365" t="s">
        <v>118</v>
      </c>
      <c r="K8" s="366"/>
      <c r="L8" s="134"/>
    </row>
    <row r="9" spans="1:12" ht="14.25" hidden="1" customHeight="1" x14ac:dyDescent="0.15">
      <c r="B9" s="261"/>
      <c r="C9" s="144" t="s">
        <v>123</v>
      </c>
      <c r="D9" s="363" t="s">
        <v>119</v>
      </c>
      <c r="E9" s="364"/>
      <c r="F9" s="365" t="s">
        <v>124</v>
      </c>
      <c r="G9" s="366"/>
      <c r="H9" s="363" t="s">
        <v>125</v>
      </c>
      <c r="I9" s="364"/>
      <c r="J9" s="365" t="s">
        <v>118</v>
      </c>
      <c r="K9" s="366"/>
      <c r="L9" s="134"/>
    </row>
    <row r="10" spans="1:12" ht="14.25" hidden="1" customHeight="1" x14ac:dyDescent="0.15">
      <c r="B10" s="262"/>
      <c r="C10" s="144" t="s">
        <v>126</v>
      </c>
      <c r="D10" s="365" t="s">
        <v>119</v>
      </c>
      <c r="E10" s="366"/>
      <c r="F10" s="365" t="s">
        <v>119</v>
      </c>
      <c r="G10" s="366"/>
      <c r="H10" s="365" t="s">
        <v>119</v>
      </c>
      <c r="I10" s="366"/>
      <c r="J10" s="365" t="s">
        <v>119</v>
      </c>
      <c r="K10" s="366"/>
      <c r="L10" s="134"/>
    </row>
    <row r="11" spans="1:12" ht="27" hidden="1" customHeight="1" x14ac:dyDescent="0.15">
      <c r="B11" s="367" t="s">
        <v>127</v>
      </c>
      <c r="C11" s="368"/>
      <c r="D11" s="369" t="s">
        <v>128</v>
      </c>
      <c r="E11" s="370"/>
      <c r="F11" s="371"/>
      <c r="G11" s="371"/>
      <c r="H11" s="371"/>
      <c r="I11" s="371"/>
      <c r="J11" s="371"/>
      <c r="K11" s="372"/>
      <c r="L11" s="128" t="s">
        <v>129</v>
      </c>
    </row>
    <row r="12" spans="1:12" ht="27" hidden="1" customHeight="1" x14ac:dyDescent="0.15">
      <c r="B12" s="354" t="s">
        <v>130</v>
      </c>
      <c r="C12" s="314"/>
      <c r="D12" s="355" t="s">
        <v>131</v>
      </c>
      <c r="E12" s="356"/>
      <c r="F12" s="357"/>
      <c r="G12" s="357"/>
      <c r="H12" s="357"/>
      <c r="I12" s="357"/>
      <c r="J12" s="357"/>
      <c r="K12" s="358"/>
      <c r="L12" s="129"/>
    </row>
    <row r="13" spans="1:12" ht="45" hidden="1" customHeight="1" x14ac:dyDescent="0.15">
      <c r="B13" s="359" t="s">
        <v>132</v>
      </c>
      <c r="C13" s="314"/>
      <c r="D13" s="360" t="s">
        <v>133</v>
      </c>
      <c r="E13" s="361"/>
      <c r="F13" s="361"/>
      <c r="G13" s="361"/>
      <c r="H13" s="361"/>
      <c r="I13" s="361"/>
      <c r="J13" s="361"/>
      <c r="K13" s="362"/>
      <c r="L13" s="128" t="s">
        <v>134</v>
      </c>
    </row>
    <row r="14" spans="1:12" ht="27" customHeight="1" x14ac:dyDescent="0.15">
      <c r="B14" s="266">
        <v>1</v>
      </c>
      <c r="C14" s="267"/>
      <c r="D14" s="347" t="s">
        <v>294</v>
      </c>
      <c r="E14" s="347"/>
      <c r="F14" s="347" t="s">
        <v>283</v>
      </c>
      <c r="G14" s="347"/>
      <c r="H14" s="347" t="s">
        <v>295</v>
      </c>
      <c r="I14" s="347"/>
      <c r="J14" s="347" t="s">
        <v>143</v>
      </c>
      <c r="K14" s="347"/>
      <c r="L14" s="151"/>
    </row>
    <row r="15" spans="1:12" ht="27" customHeight="1" x14ac:dyDescent="0.15">
      <c r="B15" s="266" t="s">
        <v>135</v>
      </c>
      <c r="C15" s="267"/>
      <c r="D15" s="350" t="s">
        <v>296</v>
      </c>
      <c r="E15" s="350"/>
      <c r="F15" s="350" t="s">
        <v>151</v>
      </c>
      <c r="G15" s="350"/>
      <c r="H15" s="347" t="s">
        <v>297</v>
      </c>
      <c r="I15" s="347"/>
      <c r="J15" s="347" t="s">
        <v>298</v>
      </c>
      <c r="K15" s="347"/>
      <c r="L15" s="151"/>
    </row>
    <row r="16" spans="1:12" ht="27" customHeight="1" x14ac:dyDescent="0.15">
      <c r="B16" s="266" t="s">
        <v>137</v>
      </c>
      <c r="C16" s="267"/>
      <c r="D16" s="347" t="s">
        <v>299</v>
      </c>
      <c r="E16" s="347"/>
      <c r="F16" s="347" t="s">
        <v>300</v>
      </c>
      <c r="G16" s="347"/>
      <c r="H16" s="350" t="s">
        <v>147</v>
      </c>
      <c r="I16" s="350"/>
      <c r="J16" s="347" t="s">
        <v>292</v>
      </c>
      <c r="K16" s="347"/>
      <c r="L16" s="151"/>
    </row>
    <row r="17" spans="1:12" ht="27" customHeight="1" x14ac:dyDescent="0.15">
      <c r="B17" s="266" t="s">
        <v>140</v>
      </c>
      <c r="C17" s="267"/>
      <c r="D17" s="349" t="s">
        <v>149</v>
      </c>
      <c r="E17" s="349"/>
      <c r="F17" s="352" t="s">
        <v>285</v>
      </c>
      <c r="G17" s="352"/>
      <c r="H17" s="336" t="s">
        <v>301</v>
      </c>
      <c r="I17" s="353"/>
      <c r="J17" s="352" t="s">
        <v>302</v>
      </c>
      <c r="K17" s="352"/>
      <c r="L17" s="152"/>
    </row>
    <row r="18" spans="1:12" ht="27" customHeight="1" x14ac:dyDescent="0.15">
      <c r="B18" s="266" t="s">
        <v>142</v>
      </c>
      <c r="C18" s="267"/>
      <c r="D18" s="351" t="s">
        <v>303</v>
      </c>
      <c r="E18" s="351"/>
      <c r="F18" s="347" t="s">
        <v>138</v>
      </c>
      <c r="G18" s="347"/>
      <c r="H18" s="347" t="s">
        <v>304</v>
      </c>
      <c r="I18" s="347"/>
      <c r="J18" s="347" t="s">
        <v>305</v>
      </c>
      <c r="K18" s="347"/>
      <c r="L18" s="151"/>
    </row>
    <row r="19" spans="1:12" ht="27" customHeight="1" x14ac:dyDescent="0.15">
      <c r="B19" s="266" t="s">
        <v>144</v>
      </c>
      <c r="C19" s="267"/>
      <c r="D19" s="347" t="s">
        <v>306</v>
      </c>
      <c r="E19" s="347"/>
      <c r="F19" s="347" t="s">
        <v>307</v>
      </c>
      <c r="G19" s="347"/>
      <c r="H19" s="347" t="s">
        <v>308</v>
      </c>
      <c r="I19" s="347"/>
      <c r="J19" s="347" t="s">
        <v>309</v>
      </c>
      <c r="K19" s="347"/>
      <c r="L19" s="151"/>
    </row>
    <row r="20" spans="1:12" ht="27" customHeight="1" x14ac:dyDescent="0.15">
      <c r="B20" s="266" t="s">
        <v>145</v>
      </c>
      <c r="C20" s="267"/>
      <c r="D20" s="347" t="s">
        <v>310</v>
      </c>
      <c r="E20" s="347"/>
      <c r="F20" s="347" t="s">
        <v>311</v>
      </c>
      <c r="G20" s="347"/>
      <c r="H20" s="321" t="s">
        <v>312</v>
      </c>
      <c r="I20" s="349"/>
      <c r="J20" s="350" t="s">
        <v>139</v>
      </c>
      <c r="K20" s="350"/>
      <c r="L20" s="151"/>
    </row>
    <row r="21" spans="1:12" ht="27" customHeight="1" x14ac:dyDescent="0.15">
      <c r="B21" s="266" t="s">
        <v>146</v>
      </c>
      <c r="C21" s="267"/>
      <c r="D21" s="347" t="s">
        <v>313</v>
      </c>
      <c r="E21" s="347"/>
      <c r="F21" s="347" t="s">
        <v>314</v>
      </c>
      <c r="G21" s="347"/>
      <c r="H21" s="347" t="s">
        <v>141</v>
      </c>
      <c r="I21" s="347"/>
      <c r="J21" s="347" t="s">
        <v>315</v>
      </c>
      <c r="K21" s="347"/>
      <c r="L21" s="151"/>
    </row>
    <row r="22" spans="1:12" ht="27" customHeight="1" x14ac:dyDescent="0.15">
      <c r="B22" s="266" t="s">
        <v>148</v>
      </c>
      <c r="C22" s="267"/>
      <c r="D22" s="347" t="s">
        <v>253</v>
      </c>
      <c r="E22" s="347"/>
      <c r="F22" s="347" t="s">
        <v>316</v>
      </c>
      <c r="G22" s="347"/>
      <c r="H22" s="347" t="s">
        <v>317</v>
      </c>
      <c r="I22" s="347"/>
      <c r="J22" s="347" t="s">
        <v>136</v>
      </c>
      <c r="K22" s="347"/>
      <c r="L22" s="151"/>
    </row>
    <row r="23" spans="1:12" ht="27" customHeight="1" x14ac:dyDescent="0.15">
      <c r="B23" s="266" t="s">
        <v>150</v>
      </c>
      <c r="C23" s="267"/>
      <c r="D23" s="347" t="s">
        <v>318</v>
      </c>
      <c r="E23" s="347"/>
      <c r="F23" s="348"/>
      <c r="G23" s="348"/>
      <c r="H23" s="348"/>
      <c r="I23" s="348"/>
      <c r="J23" s="348"/>
      <c r="K23" s="348"/>
      <c r="L23" s="151"/>
    </row>
    <row r="24" spans="1:12" s="165" customFormat="1" ht="9.75" customHeight="1" x14ac:dyDescent="0.15">
      <c r="A24" s="162"/>
      <c r="B24" s="163"/>
      <c r="C24" s="163"/>
      <c r="D24" s="164"/>
      <c r="E24" s="164"/>
      <c r="F24" s="164"/>
      <c r="G24" s="164"/>
      <c r="H24" s="164"/>
      <c r="I24" s="164"/>
      <c r="J24" s="164"/>
      <c r="K24" s="164"/>
      <c r="L24" s="164"/>
    </row>
    <row r="25" spans="1:12" s="165" customFormat="1" ht="19.5" x14ac:dyDescent="0.15">
      <c r="A25" s="390" t="s">
        <v>371</v>
      </c>
      <c r="B25" s="384" t="s">
        <v>372</v>
      </c>
      <c r="C25" s="393"/>
      <c r="D25" s="384" t="s">
        <v>369</v>
      </c>
      <c r="E25" s="385"/>
      <c r="F25" s="385"/>
      <c r="G25" s="385"/>
      <c r="H25" s="385"/>
      <c r="I25" s="385"/>
      <c r="J25" s="385"/>
      <c r="K25" s="386"/>
      <c r="L25" s="153"/>
    </row>
    <row r="26" spans="1:12" s="165" customFormat="1" ht="19.5" hidden="1" x14ac:dyDescent="0.15">
      <c r="A26" s="391"/>
      <c r="B26" s="394"/>
      <c r="C26" s="395"/>
      <c r="D26" s="166"/>
      <c r="E26" s="167"/>
      <c r="F26" s="167"/>
      <c r="G26" s="167"/>
      <c r="H26" s="167"/>
      <c r="I26" s="167"/>
      <c r="J26" s="167"/>
      <c r="K26" s="168"/>
      <c r="L26" s="169"/>
    </row>
    <row r="27" spans="1:12" s="165" customFormat="1" ht="19.5" x14ac:dyDescent="0.15">
      <c r="A27" s="392"/>
      <c r="B27" s="396"/>
      <c r="C27" s="397"/>
      <c r="D27" s="387" t="s">
        <v>370</v>
      </c>
      <c r="E27" s="388"/>
      <c r="F27" s="388"/>
      <c r="G27" s="388"/>
      <c r="H27" s="388"/>
      <c r="I27" s="388"/>
      <c r="J27" s="388"/>
      <c r="K27" s="389"/>
      <c r="L27" s="170"/>
    </row>
    <row r="28" spans="1:12" ht="15" customHeight="1" x14ac:dyDescent="0.15">
      <c r="A28" s="255" t="s">
        <v>152</v>
      </c>
      <c r="B28" s="263">
        <v>43716</v>
      </c>
      <c r="C28" s="268" t="s">
        <v>153</v>
      </c>
      <c r="D28" s="321" t="s">
        <v>319</v>
      </c>
      <c r="E28" s="346"/>
      <c r="F28" s="321" t="s">
        <v>320</v>
      </c>
      <c r="G28" s="346"/>
      <c r="H28" s="321" t="s">
        <v>321</v>
      </c>
      <c r="I28" s="346"/>
      <c r="J28" s="321" t="s">
        <v>322</v>
      </c>
      <c r="K28" s="346"/>
      <c r="L28" s="381" t="s">
        <v>323</v>
      </c>
    </row>
    <row r="29" spans="1:12" s="135" customFormat="1" ht="15" customHeight="1" x14ac:dyDescent="0.4">
      <c r="A29" s="255"/>
      <c r="B29" s="264"/>
      <c r="C29" s="268"/>
      <c r="D29" s="342" t="s">
        <v>324</v>
      </c>
      <c r="E29" s="326"/>
      <c r="F29" s="342" t="s">
        <v>325</v>
      </c>
      <c r="G29" s="326"/>
      <c r="H29" s="342" t="s">
        <v>326</v>
      </c>
      <c r="I29" s="326"/>
      <c r="J29" s="342" t="s">
        <v>327</v>
      </c>
      <c r="K29" s="326"/>
      <c r="L29" s="382"/>
    </row>
    <row r="30" spans="1:12" s="123" customFormat="1" ht="15" customHeight="1" x14ac:dyDescent="0.15">
      <c r="A30" s="255"/>
      <c r="B30" s="264"/>
      <c r="C30" s="268"/>
      <c r="D30" s="321" t="s">
        <v>328</v>
      </c>
      <c r="E30" s="322"/>
      <c r="F30" s="322"/>
      <c r="G30" s="323"/>
      <c r="H30" s="321" t="s">
        <v>329</v>
      </c>
      <c r="I30" s="322"/>
      <c r="J30" s="322"/>
      <c r="K30" s="323"/>
      <c r="L30" s="382"/>
    </row>
    <row r="31" spans="1:12" ht="15" customHeight="1" x14ac:dyDescent="0.15">
      <c r="A31" s="255"/>
      <c r="B31" s="264"/>
      <c r="C31" s="268"/>
      <c r="D31" s="324" t="s">
        <v>330</v>
      </c>
      <c r="E31" s="325"/>
      <c r="F31" s="325"/>
      <c r="G31" s="326"/>
      <c r="H31" s="324" t="s">
        <v>331</v>
      </c>
      <c r="I31" s="325"/>
      <c r="J31" s="325"/>
      <c r="K31" s="326"/>
      <c r="L31" s="382"/>
    </row>
    <row r="32" spans="1:12" ht="15" customHeight="1" x14ac:dyDescent="0.15">
      <c r="A32" s="255" t="s">
        <v>154</v>
      </c>
      <c r="B32" s="263">
        <v>43737</v>
      </c>
      <c r="C32" s="269" t="s">
        <v>153</v>
      </c>
      <c r="D32" s="321" t="s">
        <v>332</v>
      </c>
      <c r="E32" s="323"/>
      <c r="F32" s="345" t="s">
        <v>333</v>
      </c>
      <c r="G32" s="323"/>
      <c r="H32" s="321" t="s">
        <v>334</v>
      </c>
      <c r="I32" s="323"/>
      <c r="J32" s="321" t="s">
        <v>335</v>
      </c>
      <c r="K32" s="323"/>
      <c r="L32" s="382"/>
    </row>
    <row r="33" spans="1:12" ht="15" customHeight="1" x14ac:dyDescent="0.15">
      <c r="A33" s="255"/>
      <c r="B33" s="263"/>
      <c r="C33" s="269"/>
      <c r="D33" s="342" t="s">
        <v>324</v>
      </c>
      <c r="E33" s="326"/>
      <c r="F33" s="342" t="s">
        <v>336</v>
      </c>
      <c r="G33" s="326"/>
      <c r="H33" s="324" t="s">
        <v>337</v>
      </c>
      <c r="I33" s="326"/>
      <c r="J33" s="342" t="s">
        <v>338</v>
      </c>
      <c r="K33" s="326"/>
      <c r="L33" s="382"/>
    </row>
    <row r="34" spans="1:12" ht="15" customHeight="1" x14ac:dyDescent="0.15">
      <c r="A34" s="255"/>
      <c r="B34" s="263"/>
      <c r="C34" s="269"/>
      <c r="D34" s="321" t="s">
        <v>339</v>
      </c>
      <c r="E34" s="322"/>
      <c r="F34" s="322"/>
      <c r="G34" s="323"/>
      <c r="H34" s="343" t="s">
        <v>340</v>
      </c>
      <c r="I34" s="322"/>
      <c r="J34" s="322"/>
      <c r="K34" s="323"/>
      <c r="L34" s="382"/>
    </row>
    <row r="35" spans="1:12" ht="15" customHeight="1" x14ac:dyDescent="0.15">
      <c r="A35" s="255"/>
      <c r="B35" s="264"/>
      <c r="C35" s="268"/>
      <c r="D35" s="324" t="s">
        <v>341</v>
      </c>
      <c r="E35" s="325"/>
      <c r="F35" s="325"/>
      <c r="G35" s="326"/>
      <c r="H35" s="324" t="s">
        <v>342</v>
      </c>
      <c r="I35" s="325"/>
      <c r="J35" s="325"/>
      <c r="K35" s="326"/>
      <c r="L35" s="382"/>
    </row>
    <row r="36" spans="1:12" ht="15" customHeight="1" x14ac:dyDescent="0.15">
      <c r="A36" s="255" t="s">
        <v>156</v>
      </c>
      <c r="B36" s="264">
        <v>43750</v>
      </c>
      <c r="C36" s="270" t="s">
        <v>155</v>
      </c>
      <c r="D36" s="321" t="s">
        <v>343</v>
      </c>
      <c r="E36" s="323"/>
      <c r="F36" s="321" t="s">
        <v>344</v>
      </c>
      <c r="G36" s="323"/>
      <c r="H36" s="321" t="s">
        <v>345</v>
      </c>
      <c r="I36" s="323"/>
      <c r="J36" s="321" t="s">
        <v>346</v>
      </c>
      <c r="K36" s="323"/>
      <c r="L36" s="382"/>
    </row>
    <row r="37" spans="1:12" ht="15" customHeight="1" x14ac:dyDescent="0.15">
      <c r="A37" s="255"/>
      <c r="B37" s="264"/>
      <c r="C37" s="270"/>
      <c r="D37" s="336" t="s">
        <v>324</v>
      </c>
      <c r="E37" s="344"/>
      <c r="F37" s="336" t="s">
        <v>347</v>
      </c>
      <c r="G37" s="344"/>
      <c r="H37" s="324" t="s">
        <v>348</v>
      </c>
      <c r="I37" s="326"/>
      <c r="J37" s="324" t="s">
        <v>349</v>
      </c>
      <c r="K37" s="326"/>
      <c r="L37" s="382"/>
    </row>
    <row r="38" spans="1:12" ht="15" customHeight="1" x14ac:dyDescent="0.15">
      <c r="A38" s="255"/>
      <c r="B38" s="264"/>
      <c r="C38" s="270"/>
      <c r="D38" s="321" t="s">
        <v>350</v>
      </c>
      <c r="E38" s="322"/>
      <c r="F38" s="322"/>
      <c r="G38" s="323"/>
      <c r="H38" s="321" t="s">
        <v>351</v>
      </c>
      <c r="I38" s="322"/>
      <c r="J38" s="322"/>
      <c r="K38" s="323"/>
      <c r="L38" s="382"/>
    </row>
    <row r="39" spans="1:12" ht="15" customHeight="1" x14ac:dyDescent="0.15">
      <c r="A39" s="255"/>
      <c r="B39" s="264"/>
      <c r="C39" s="270"/>
      <c r="D39" s="342" t="s">
        <v>352</v>
      </c>
      <c r="E39" s="325"/>
      <c r="F39" s="325"/>
      <c r="G39" s="326"/>
      <c r="H39" s="324" t="s">
        <v>353</v>
      </c>
      <c r="I39" s="325"/>
      <c r="J39" s="325"/>
      <c r="K39" s="326"/>
      <c r="L39" s="382"/>
    </row>
    <row r="40" spans="1:12" ht="15" customHeight="1" x14ac:dyDescent="0.15">
      <c r="A40" s="256"/>
      <c r="B40" s="264">
        <v>43751</v>
      </c>
      <c r="C40" s="271" t="s">
        <v>354</v>
      </c>
      <c r="D40" s="321" t="s">
        <v>355</v>
      </c>
      <c r="E40" s="334"/>
      <c r="F40" s="334"/>
      <c r="G40" s="334"/>
      <c r="H40" s="334"/>
      <c r="I40" s="334"/>
      <c r="J40" s="334"/>
      <c r="K40" s="335"/>
      <c r="L40" s="382"/>
    </row>
    <row r="41" spans="1:12" ht="15" hidden="1" customHeight="1" x14ac:dyDescent="0.15">
      <c r="A41" s="257"/>
      <c r="B41" s="264"/>
      <c r="C41" s="272"/>
      <c r="D41" s="336"/>
      <c r="E41" s="337"/>
      <c r="F41" s="337"/>
      <c r="G41" s="337"/>
      <c r="H41" s="337"/>
      <c r="I41" s="337"/>
      <c r="J41" s="337"/>
      <c r="K41" s="338"/>
      <c r="L41" s="382"/>
    </row>
    <row r="42" spans="1:12" ht="15" hidden="1" customHeight="1" x14ac:dyDescent="0.15">
      <c r="A42" s="257"/>
      <c r="B42" s="264"/>
      <c r="C42" s="272"/>
      <c r="D42" s="336"/>
      <c r="E42" s="337"/>
      <c r="F42" s="337"/>
      <c r="G42" s="337"/>
      <c r="H42" s="337"/>
      <c r="I42" s="337"/>
      <c r="J42" s="337"/>
      <c r="K42" s="338"/>
      <c r="L42" s="382"/>
    </row>
    <row r="43" spans="1:12" ht="15" customHeight="1" x14ac:dyDescent="0.15">
      <c r="A43" s="258"/>
      <c r="B43" s="264"/>
      <c r="C43" s="269"/>
      <c r="D43" s="339"/>
      <c r="E43" s="340"/>
      <c r="F43" s="340"/>
      <c r="G43" s="340"/>
      <c r="H43" s="340"/>
      <c r="I43" s="340"/>
      <c r="J43" s="340"/>
      <c r="K43" s="341"/>
      <c r="L43" s="382"/>
    </row>
    <row r="44" spans="1:12" ht="15" customHeight="1" x14ac:dyDescent="0.15">
      <c r="A44" s="255" t="s">
        <v>157</v>
      </c>
      <c r="B44" s="264">
        <v>43752</v>
      </c>
      <c r="C44" s="268" t="s">
        <v>356</v>
      </c>
      <c r="D44" s="321" t="s">
        <v>357</v>
      </c>
      <c r="E44" s="323"/>
      <c r="F44" s="321" t="s">
        <v>358</v>
      </c>
      <c r="G44" s="323"/>
      <c r="H44" s="321" t="s">
        <v>359</v>
      </c>
      <c r="I44" s="323"/>
      <c r="J44" s="321" t="s">
        <v>360</v>
      </c>
      <c r="K44" s="323"/>
      <c r="L44" s="382"/>
    </row>
    <row r="45" spans="1:12" ht="15" customHeight="1" x14ac:dyDescent="0.15">
      <c r="A45" s="255"/>
      <c r="B45" s="264"/>
      <c r="C45" s="268"/>
      <c r="D45" s="342" t="s">
        <v>324</v>
      </c>
      <c r="E45" s="326"/>
      <c r="F45" s="342" t="s">
        <v>361</v>
      </c>
      <c r="G45" s="326"/>
      <c r="H45" s="324" t="s">
        <v>362</v>
      </c>
      <c r="I45" s="326"/>
      <c r="J45" s="324" t="s">
        <v>363</v>
      </c>
      <c r="K45" s="326"/>
      <c r="L45" s="382"/>
    </row>
    <row r="46" spans="1:12" ht="15" customHeight="1" x14ac:dyDescent="0.15">
      <c r="A46" s="255"/>
      <c r="B46" s="264"/>
      <c r="C46" s="268"/>
      <c r="D46" s="321" t="s">
        <v>364</v>
      </c>
      <c r="E46" s="322"/>
      <c r="F46" s="322"/>
      <c r="G46" s="323"/>
      <c r="H46" s="321" t="s">
        <v>365</v>
      </c>
      <c r="I46" s="322"/>
      <c r="J46" s="322"/>
      <c r="K46" s="323"/>
      <c r="L46" s="382"/>
    </row>
    <row r="47" spans="1:12" ht="15" customHeight="1" x14ac:dyDescent="0.15">
      <c r="A47" s="255"/>
      <c r="B47" s="264"/>
      <c r="C47" s="268"/>
      <c r="D47" s="324" t="s">
        <v>366</v>
      </c>
      <c r="E47" s="325"/>
      <c r="F47" s="325"/>
      <c r="G47" s="326"/>
      <c r="H47" s="324" t="s">
        <v>367</v>
      </c>
      <c r="I47" s="325"/>
      <c r="J47" s="325"/>
      <c r="K47" s="326"/>
      <c r="L47" s="382"/>
    </row>
    <row r="48" spans="1:12" ht="15" customHeight="1" x14ac:dyDescent="0.15">
      <c r="A48" s="259" t="s">
        <v>158</v>
      </c>
      <c r="B48" s="265">
        <v>43785</v>
      </c>
      <c r="C48" s="273" t="s">
        <v>159</v>
      </c>
      <c r="D48" s="321" t="s">
        <v>368</v>
      </c>
      <c r="E48" s="323"/>
      <c r="F48" s="328"/>
      <c r="G48" s="329"/>
      <c r="H48" s="328"/>
      <c r="I48" s="329"/>
      <c r="J48" s="328"/>
      <c r="K48" s="329"/>
      <c r="L48" s="382"/>
    </row>
    <row r="49" spans="1:12" ht="15" hidden="1" customHeight="1" x14ac:dyDescent="0.15">
      <c r="A49" s="259"/>
      <c r="B49" s="265"/>
      <c r="C49" s="273"/>
      <c r="D49" s="160"/>
      <c r="E49" s="161"/>
      <c r="F49" s="330"/>
      <c r="G49" s="331"/>
      <c r="H49" s="330"/>
      <c r="I49" s="331"/>
      <c r="J49" s="330"/>
      <c r="K49" s="331"/>
      <c r="L49" s="382"/>
    </row>
    <row r="50" spans="1:12" ht="15" hidden="1" customHeight="1" x14ac:dyDescent="0.15">
      <c r="A50" s="259"/>
      <c r="B50" s="265"/>
      <c r="C50" s="273"/>
      <c r="D50" s="160"/>
      <c r="E50" s="161"/>
      <c r="F50" s="330"/>
      <c r="G50" s="331"/>
      <c r="H50" s="330"/>
      <c r="I50" s="331"/>
      <c r="J50" s="330"/>
      <c r="K50" s="331"/>
      <c r="L50" s="382"/>
    </row>
    <row r="51" spans="1:12" ht="15" customHeight="1" x14ac:dyDescent="0.15">
      <c r="A51" s="255"/>
      <c r="B51" s="265"/>
      <c r="C51" s="273"/>
      <c r="D51" s="342" t="s">
        <v>324</v>
      </c>
      <c r="E51" s="326"/>
      <c r="F51" s="332"/>
      <c r="G51" s="333"/>
      <c r="H51" s="332"/>
      <c r="I51" s="333"/>
      <c r="J51" s="332"/>
      <c r="K51" s="333"/>
      <c r="L51" s="383"/>
    </row>
    <row r="52" spans="1:12" ht="15" hidden="1" customHeight="1" x14ac:dyDescent="0.15">
      <c r="A52" s="145"/>
      <c r="B52" s="276">
        <v>43659</v>
      </c>
      <c r="C52" s="309" t="s">
        <v>159</v>
      </c>
      <c r="D52" s="312" t="s">
        <v>160</v>
      </c>
      <c r="E52" s="313"/>
      <c r="F52" s="313"/>
      <c r="G52" s="313"/>
      <c r="H52" s="313"/>
      <c r="I52" s="313"/>
      <c r="J52" s="313"/>
      <c r="K52" s="314"/>
      <c r="L52" s="310"/>
    </row>
    <row r="53" spans="1:12" ht="15" hidden="1" customHeight="1" x14ac:dyDescent="0.15">
      <c r="A53" s="126"/>
      <c r="B53" s="276"/>
      <c r="C53" s="309"/>
      <c r="D53" s="315"/>
      <c r="E53" s="316"/>
      <c r="F53" s="316"/>
      <c r="G53" s="316"/>
      <c r="H53" s="316"/>
      <c r="I53" s="316"/>
      <c r="J53" s="316"/>
      <c r="K53" s="317"/>
      <c r="L53" s="310"/>
    </row>
    <row r="54" spans="1:12" ht="15" hidden="1" customHeight="1" x14ac:dyDescent="0.15">
      <c r="A54" s="126"/>
      <c r="B54" s="276"/>
      <c r="C54" s="309"/>
      <c r="D54" s="315"/>
      <c r="E54" s="316"/>
      <c r="F54" s="316"/>
      <c r="G54" s="316"/>
      <c r="H54" s="316"/>
      <c r="I54" s="316"/>
      <c r="J54" s="316"/>
      <c r="K54" s="317"/>
      <c r="L54" s="310"/>
    </row>
    <row r="55" spans="1:12" ht="15" hidden="1" customHeight="1" x14ac:dyDescent="0.15">
      <c r="A55" s="127"/>
      <c r="B55" s="276"/>
      <c r="C55" s="309"/>
      <c r="D55" s="318"/>
      <c r="E55" s="319"/>
      <c r="F55" s="319"/>
      <c r="G55" s="319"/>
      <c r="H55" s="319"/>
      <c r="I55" s="319"/>
      <c r="J55" s="319"/>
      <c r="K55" s="320"/>
      <c r="L55" s="311"/>
    </row>
    <row r="56" spans="1:12" ht="7.5" customHeight="1" x14ac:dyDescent="0.2">
      <c r="B56" s="327"/>
      <c r="C56" s="327"/>
      <c r="D56" s="327"/>
      <c r="E56" s="327"/>
      <c r="F56" s="327"/>
      <c r="G56" s="327"/>
      <c r="H56" s="327"/>
      <c r="I56" s="327"/>
      <c r="J56" s="327"/>
      <c r="K56" s="327"/>
      <c r="L56" s="327"/>
    </row>
    <row r="57" spans="1:12" ht="15" customHeight="1" x14ac:dyDescent="0.15">
      <c r="B57" s="277" t="s">
        <v>161</v>
      </c>
      <c r="C57" s="278"/>
      <c r="D57" s="274" t="s">
        <v>175</v>
      </c>
      <c r="E57" s="301"/>
      <c r="F57" s="302"/>
      <c r="G57" s="281" t="s">
        <v>176</v>
      </c>
      <c r="H57" s="282"/>
      <c r="I57" s="282"/>
      <c r="J57" s="282"/>
      <c r="K57" s="274" t="s">
        <v>164</v>
      </c>
      <c r="L57" s="275"/>
    </row>
    <row r="58" spans="1:12" ht="15" customHeight="1" x14ac:dyDescent="0.15">
      <c r="B58" s="277"/>
      <c r="C58" s="278"/>
      <c r="D58" s="303"/>
      <c r="E58" s="304"/>
      <c r="F58" s="305"/>
      <c r="G58" s="281"/>
      <c r="H58" s="282"/>
      <c r="I58" s="282"/>
      <c r="J58" s="282"/>
      <c r="K58" s="283" t="s">
        <v>177</v>
      </c>
      <c r="L58" s="284"/>
    </row>
    <row r="59" spans="1:12" ht="15" customHeight="1" x14ac:dyDescent="0.15">
      <c r="B59" s="277"/>
      <c r="C59" s="278"/>
      <c r="D59" s="306"/>
      <c r="E59" s="307"/>
      <c r="F59" s="308"/>
      <c r="G59" s="282"/>
      <c r="H59" s="282"/>
      <c r="I59" s="282"/>
      <c r="J59" s="282"/>
      <c r="K59" s="283"/>
      <c r="L59" s="284"/>
    </row>
    <row r="60" spans="1:12" ht="15" customHeight="1" x14ac:dyDescent="0.15">
      <c r="B60" s="277" t="s">
        <v>166</v>
      </c>
      <c r="C60" s="278"/>
      <c r="D60" s="285" t="s">
        <v>167</v>
      </c>
      <c r="E60" s="286"/>
      <c r="F60" s="286"/>
      <c r="G60" s="291" t="s">
        <v>168</v>
      </c>
      <c r="H60" s="292"/>
      <c r="I60" s="292"/>
      <c r="J60" s="292"/>
      <c r="K60" s="274" t="s">
        <v>164</v>
      </c>
      <c r="L60" s="275"/>
    </row>
    <row r="61" spans="1:12" ht="15" customHeight="1" x14ac:dyDescent="0.15">
      <c r="B61" s="277"/>
      <c r="C61" s="278"/>
      <c r="D61" s="287"/>
      <c r="E61" s="288"/>
      <c r="F61" s="288"/>
      <c r="G61" s="293"/>
      <c r="H61" s="294"/>
      <c r="I61" s="294"/>
      <c r="J61" s="294"/>
      <c r="K61" s="297" t="s">
        <v>169</v>
      </c>
      <c r="L61" s="298"/>
    </row>
    <row r="62" spans="1:12" ht="15" customHeight="1" x14ac:dyDescent="0.15">
      <c r="B62" s="277"/>
      <c r="C62" s="278"/>
      <c r="D62" s="289"/>
      <c r="E62" s="290"/>
      <c r="F62" s="290"/>
      <c r="G62" s="295"/>
      <c r="H62" s="296"/>
      <c r="I62" s="296"/>
      <c r="J62" s="296"/>
      <c r="K62" s="299"/>
      <c r="L62" s="300"/>
    </row>
    <row r="63" spans="1:12" ht="15" customHeight="1" x14ac:dyDescent="0.15">
      <c r="B63" s="277" t="s">
        <v>170</v>
      </c>
      <c r="C63" s="278"/>
      <c r="D63" s="274" t="s">
        <v>162</v>
      </c>
      <c r="E63" s="279"/>
      <c r="F63" s="279"/>
      <c r="G63" s="291" t="s">
        <v>163</v>
      </c>
      <c r="H63" s="292"/>
      <c r="I63" s="292"/>
      <c r="J63" s="292"/>
      <c r="K63" s="274" t="s">
        <v>164</v>
      </c>
      <c r="L63" s="275"/>
    </row>
    <row r="64" spans="1:12" ht="15" customHeight="1" x14ac:dyDescent="0.15">
      <c r="B64" s="277"/>
      <c r="C64" s="278"/>
      <c r="D64" s="274"/>
      <c r="E64" s="279"/>
      <c r="F64" s="279"/>
      <c r="G64" s="293"/>
      <c r="H64" s="294"/>
      <c r="I64" s="294"/>
      <c r="J64" s="294"/>
      <c r="K64" s="283" t="s">
        <v>165</v>
      </c>
      <c r="L64" s="284"/>
    </row>
    <row r="65" spans="2:12" ht="15" customHeight="1" x14ac:dyDescent="0.15">
      <c r="B65" s="277"/>
      <c r="C65" s="278"/>
      <c r="D65" s="274"/>
      <c r="E65" s="279"/>
      <c r="F65" s="279"/>
      <c r="G65" s="295"/>
      <c r="H65" s="296"/>
      <c r="I65" s="296"/>
      <c r="J65" s="296"/>
      <c r="K65" s="283"/>
      <c r="L65" s="284"/>
    </row>
    <row r="66" spans="2:12" ht="15" customHeight="1" x14ac:dyDescent="0.15">
      <c r="B66" s="277" t="s">
        <v>174</v>
      </c>
      <c r="C66" s="278"/>
      <c r="D66" s="274" t="s">
        <v>171</v>
      </c>
      <c r="E66" s="279"/>
      <c r="F66" s="280"/>
      <c r="G66" s="281" t="s">
        <v>172</v>
      </c>
      <c r="H66" s="282"/>
      <c r="I66" s="282"/>
      <c r="J66" s="282"/>
      <c r="K66" s="274" t="s">
        <v>164</v>
      </c>
      <c r="L66" s="275"/>
    </row>
    <row r="67" spans="2:12" ht="15" customHeight="1" x14ac:dyDescent="0.15">
      <c r="B67" s="277"/>
      <c r="C67" s="278"/>
      <c r="D67" s="274"/>
      <c r="E67" s="279"/>
      <c r="F67" s="280"/>
      <c r="G67" s="281"/>
      <c r="H67" s="282"/>
      <c r="I67" s="282"/>
      <c r="J67" s="282"/>
      <c r="K67" s="283" t="s">
        <v>173</v>
      </c>
      <c r="L67" s="284"/>
    </row>
    <row r="68" spans="2:12" ht="15" customHeight="1" x14ac:dyDescent="0.15">
      <c r="B68" s="277"/>
      <c r="C68" s="278"/>
      <c r="D68" s="274"/>
      <c r="E68" s="279"/>
      <c r="F68" s="280"/>
      <c r="G68" s="282"/>
      <c r="H68" s="282"/>
      <c r="I68" s="282"/>
      <c r="J68" s="282"/>
      <c r="K68" s="283"/>
      <c r="L68" s="284"/>
    </row>
    <row r="69" spans="2:12" ht="14.25" x14ac:dyDescent="0.2"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</row>
    <row r="70" spans="2:12" x14ac:dyDescent="0.15"/>
    <row r="71" spans="2:12" x14ac:dyDescent="0.15"/>
    <row r="72" spans="2:12" x14ac:dyDescent="0.15"/>
    <row r="73" spans="2:12" x14ac:dyDescent="0.15"/>
    <row r="74" spans="2:12" x14ac:dyDescent="0.15"/>
    <row r="75" spans="2:12" x14ac:dyDescent="0.15"/>
    <row r="76" spans="2:12" x14ac:dyDescent="0.15"/>
    <row r="77" spans="2:12" x14ac:dyDescent="0.15"/>
    <row r="78" spans="2:12" x14ac:dyDescent="0.15"/>
    <row r="79" spans="2:12" x14ac:dyDescent="0.15"/>
    <row r="80" spans="2:12" x14ac:dyDescent="0.15"/>
    <row r="81" x14ac:dyDescent="0.15"/>
    <row r="82" x14ac:dyDescent="0.15"/>
    <row r="83" x14ac:dyDescent="0.15"/>
    <row r="84" x14ac:dyDescent="0.15"/>
    <row r="85" x14ac:dyDescent="0.15"/>
    <row r="86" x14ac:dyDescent="0.15"/>
    <row r="87" x14ac:dyDescent="0.15"/>
    <row r="88" x14ac:dyDescent="0.15"/>
    <row r="89" x14ac:dyDescent="0.15"/>
    <row r="90" x14ac:dyDescent="0.15"/>
    <row r="91" x14ac:dyDescent="0.15"/>
    <row r="92" x14ac:dyDescent="0.15"/>
    <row r="93" x14ac:dyDescent="0.15"/>
    <row r="94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</sheetData>
  <mergeCells count="195">
    <mergeCell ref="L28:L51"/>
    <mergeCell ref="D38:G38"/>
    <mergeCell ref="D39:G39"/>
    <mergeCell ref="F48:G51"/>
    <mergeCell ref="D25:K25"/>
    <mergeCell ref="D27:K27"/>
    <mergeCell ref="A25:A27"/>
    <mergeCell ref="B25:C27"/>
    <mergeCell ref="A1:L1"/>
    <mergeCell ref="D5:E5"/>
    <mergeCell ref="F5:G5"/>
    <mergeCell ref="H5:I5"/>
    <mergeCell ref="J5:K5"/>
    <mergeCell ref="D6:E6"/>
    <mergeCell ref="F6:G6"/>
    <mergeCell ref="H6:I6"/>
    <mergeCell ref="J6:K6"/>
    <mergeCell ref="B2:L2"/>
    <mergeCell ref="D3:E3"/>
    <mergeCell ref="F3:G3"/>
    <mergeCell ref="H3:I3"/>
    <mergeCell ref="J3:K3"/>
    <mergeCell ref="D4:E4"/>
    <mergeCell ref="F4:G4"/>
    <mergeCell ref="H4:I4"/>
    <mergeCell ref="J4:K4"/>
    <mergeCell ref="L3:L4"/>
    <mergeCell ref="B3:C4"/>
    <mergeCell ref="D7:E7"/>
    <mergeCell ref="F7:G7"/>
    <mergeCell ref="H7:I7"/>
    <mergeCell ref="J7:K7"/>
    <mergeCell ref="D8:E8"/>
    <mergeCell ref="F8:G8"/>
    <mergeCell ref="H8:I8"/>
    <mergeCell ref="J8:K8"/>
    <mergeCell ref="D9:E9"/>
    <mergeCell ref="F9:G9"/>
    <mergeCell ref="H9:I9"/>
    <mergeCell ref="J9:K9"/>
    <mergeCell ref="D10:E10"/>
    <mergeCell ref="F10:G10"/>
    <mergeCell ref="H10:I10"/>
    <mergeCell ref="J10:K10"/>
    <mergeCell ref="B11:C11"/>
    <mergeCell ref="D11:K11"/>
    <mergeCell ref="B12:C12"/>
    <mergeCell ref="D12:K12"/>
    <mergeCell ref="B13:C13"/>
    <mergeCell ref="D13:K13"/>
    <mergeCell ref="D14:E14"/>
    <mergeCell ref="F14:G14"/>
    <mergeCell ref="H14:I14"/>
    <mergeCell ref="J14:K14"/>
    <mergeCell ref="B15:C15"/>
    <mergeCell ref="D15:E15"/>
    <mergeCell ref="F15:G15"/>
    <mergeCell ref="H15:I15"/>
    <mergeCell ref="J15:K15"/>
    <mergeCell ref="D16:E16"/>
    <mergeCell ref="F16:G16"/>
    <mergeCell ref="H16:I16"/>
    <mergeCell ref="J16:K16"/>
    <mergeCell ref="B17:C17"/>
    <mergeCell ref="D17:E17"/>
    <mergeCell ref="F17:G17"/>
    <mergeCell ref="H17:I17"/>
    <mergeCell ref="J17:K17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D28:E28"/>
    <mergeCell ref="F28:G28"/>
    <mergeCell ref="H28:I28"/>
    <mergeCell ref="J28:K28"/>
    <mergeCell ref="D29:E29"/>
    <mergeCell ref="F29:G29"/>
    <mergeCell ref="H29:I29"/>
    <mergeCell ref="J29:K29"/>
    <mergeCell ref="D30:G30"/>
    <mergeCell ref="H30:K30"/>
    <mergeCell ref="D31:G31"/>
    <mergeCell ref="H31:K31"/>
    <mergeCell ref="D32:E32"/>
    <mergeCell ref="F32:G32"/>
    <mergeCell ref="H32:I32"/>
    <mergeCell ref="J32:K32"/>
    <mergeCell ref="D33:E33"/>
    <mergeCell ref="F33:G33"/>
    <mergeCell ref="H33:I33"/>
    <mergeCell ref="J33:K33"/>
    <mergeCell ref="D34:G34"/>
    <mergeCell ref="H34:K34"/>
    <mergeCell ref="D35:G35"/>
    <mergeCell ref="H35:K35"/>
    <mergeCell ref="D36:E36"/>
    <mergeCell ref="F36:G36"/>
    <mergeCell ref="H36:I36"/>
    <mergeCell ref="J36:K36"/>
    <mergeCell ref="D37:E37"/>
    <mergeCell ref="F37:G37"/>
    <mergeCell ref="H37:I37"/>
    <mergeCell ref="J37:K37"/>
    <mergeCell ref="H38:K38"/>
    <mergeCell ref="H39:K39"/>
    <mergeCell ref="D44:E44"/>
    <mergeCell ref="F44:G44"/>
    <mergeCell ref="H44:I44"/>
    <mergeCell ref="J44:K44"/>
    <mergeCell ref="B56:L56"/>
    <mergeCell ref="K57:L57"/>
    <mergeCell ref="K60:L60"/>
    <mergeCell ref="K58:L59"/>
    <mergeCell ref="G57:J59"/>
    <mergeCell ref="H48:I51"/>
    <mergeCell ref="J48:K51"/>
    <mergeCell ref="D40:K43"/>
    <mergeCell ref="D51:E51"/>
    <mergeCell ref="D45:E45"/>
    <mergeCell ref="F45:G45"/>
    <mergeCell ref="H45:I45"/>
    <mergeCell ref="J45:K45"/>
    <mergeCell ref="D46:G46"/>
    <mergeCell ref="H46:K46"/>
    <mergeCell ref="D47:G47"/>
    <mergeCell ref="H47:K47"/>
    <mergeCell ref="D48:E48"/>
    <mergeCell ref="K63:L63"/>
    <mergeCell ref="K66:L66"/>
    <mergeCell ref="B52:B55"/>
    <mergeCell ref="B66:C68"/>
    <mergeCell ref="D66:F68"/>
    <mergeCell ref="G66:J68"/>
    <mergeCell ref="K67:L68"/>
    <mergeCell ref="D60:F62"/>
    <mergeCell ref="G60:J62"/>
    <mergeCell ref="K61:L62"/>
    <mergeCell ref="B63:C65"/>
    <mergeCell ref="D63:F65"/>
    <mergeCell ref="G63:J65"/>
    <mergeCell ref="K64:L65"/>
    <mergeCell ref="B60:C62"/>
    <mergeCell ref="B57:C59"/>
    <mergeCell ref="D57:F59"/>
    <mergeCell ref="C52:C55"/>
    <mergeCell ref="L52:L55"/>
    <mergeCell ref="D52:K55"/>
    <mergeCell ref="A28:A31"/>
    <mergeCell ref="A32:A35"/>
    <mergeCell ref="A36:A39"/>
    <mergeCell ref="A40:A43"/>
    <mergeCell ref="A44:A47"/>
    <mergeCell ref="A48:A51"/>
    <mergeCell ref="B5:B10"/>
    <mergeCell ref="B28:B31"/>
    <mergeCell ref="B32:B35"/>
    <mergeCell ref="B36:B39"/>
    <mergeCell ref="B40:B43"/>
    <mergeCell ref="B44:B47"/>
    <mergeCell ref="B48:B51"/>
    <mergeCell ref="B22:C22"/>
    <mergeCell ref="B20:C20"/>
    <mergeCell ref="B18:C18"/>
    <mergeCell ref="B16:C16"/>
    <mergeCell ref="B14:C14"/>
    <mergeCell ref="C28:C31"/>
    <mergeCell ref="C32:C35"/>
    <mergeCell ref="C36:C39"/>
    <mergeCell ref="C40:C43"/>
    <mergeCell ref="C44:C47"/>
    <mergeCell ref="C48:C51"/>
  </mergeCells>
  <phoneticPr fontId="53"/>
  <printOptions horizontalCentered="1"/>
  <pageMargins left="0" right="0" top="0.39305555555555599" bottom="0" header="0" footer="0"/>
  <pageSetup paperSize="9" scale="94" orientation="portrait" r:id="rId1"/>
  <headerFooter alignWithMargins="0"/>
  <ignoredErrors>
    <ignoredError sqref="B15:C23 D5:K10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G39"/>
  <sheetViews>
    <sheetView topLeftCell="A9" workbookViewId="0">
      <selection activeCell="F1" sqref="F1:G1"/>
    </sheetView>
  </sheetViews>
  <sheetFormatPr defaultColWidth="9" defaultRowHeight="18.75" x14ac:dyDescent="0.4"/>
  <cols>
    <col min="1" max="1" width="5.375" style="39" customWidth="1"/>
    <col min="2" max="2" width="19.5" style="40" customWidth="1"/>
    <col min="3" max="16384" width="9" style="40"/>
  </cols>
  <sheetData>
    <row r="1" spans="1:7" x14ac:dyDescent="0.4">
      <c r="A1" s="20"/>
      <c r="B1" s="20" t="s">
        <v>27</v>
      </c>
      <c r="C1" s="20" t="s">
        <v>56</v>
      </c>
      <c r="D1" s="20" t="s">
        <v>57</v>
      </c>
      <c r="E1" s="20" t="s">
        <v>56</v>
      </c>
      <c r="F1" s="159" t="s">
        <v>58</v>
      </c>
      <c r="G1" s="159" t="s">
        <v>28</v>
      </c>
    </row>
    <row r="2" spans="1:7" x14ac:dyDescent="0.4">
      <c r="A2" s="20" t="str">
        <f ca="1">INDIRECT("'Ａ～Ｄブロック星取表'!A"&amp;ROW()*2)</f>
        <v>A01</v>
      </c>
      <c r="B2" s="41" t="str">
        <f>U12組合せ!D14</f>
        <v>岡西ＦＣ</v>
      </c>
      <c r="C2" s="42">
        <f ca="1">INDIRECT("'Ａ～Ｄブロック星取表'!At"&amp;ROW()*2)</f>
        <v>4</v>
      </c>
      <c r="D2" s="42">
        <f ca="1">INDIRECT("'Ａ～Ｄブロック星取表'!As"&amp;ROW()*2)</f>
        <v>4</v>
      </c>
      <c r="E2" s="42">
        <f ca="1">INDIRECT("'Ａ～Ｄブロック星取表'!At"&amp;ROW()*2)</f>
        <v>4</v>
      </c>
      <c r="F2" s="42">
        <f ca="1">INDIRECT("'Ａ～Ｄブロック星取表'!Av"&amp;ROW()*2)</f>
        <v>-3</v>
      </c>
      <c r="G2" s="42">
        <f ca="1">INDIRECT("'Ａ～Ｄブロック星取表'!Aｗ"&amp;ROW()*2)</f>
        <v>2</v>
      </c>
    </row>
    <row r="3" spans="1:7" x14ac:dyDescent="0.4">
      <c r="A3" s="20" t="str">
        <f t="shared" ref="A3:A11" ca="1" si="0">INDIRECT("'Ａ～Ｄブロック星取表'!A"&amp;ROW()*2)</f>
        <v>A02</v>
      </c>
      <c r="B3" s="41" t="str">
        <f>U12組合せ!D15</f>
        <v>国本ＪＳＣ</v>
      </c>
      <c r="C3" s="42">
        <f t="shared" ref="C3:E11" ca="1" si="1">INDIRECT("'Ａ～Ｄブロック星取表'!At"&amp;ROW()*2)</f>
        <v>7</v>
      </c>
      <c r="D3" s="42">
        <f t="shared" ref="D3:D11" ca="1" si="2">INDIRECT("'Ａ～Ｄブロック星取表'!As"&amp;ROW()*2)</f>
        <v>4</v>
      </c>
      <c r="E3" s="42">
        <f t="shared" ca="1" si="1"/>
        <v>7</v>
      </c>
      <c r="F3" s="42">
        <f t="shared" ref="F3:F11" ca="1" si="3">INDIRECT("'Ａ～Ｄブロック星取表'!Av"&amp;ROW()*2)</f>
        <v>1</v>
      </c>
      <c r="G3" s="42">
        <f t="shared" ref="G3:G11" ca="1" si="4">INDIRECT("'Ａ～Ｄブロック星取表'!Aｗ"&amp;ROW()*2)</f>
        <v>6</v>
      </c>
    </row>
    <row r="4" spans="1:7" x14ac:dyDescent="0.4">
      <c r="A4" s="20" t="str">
        <f t="shared" ca="1" si="0"/>
        <v>A03</v>
      </c>
      <c r="B4" s="41" t="str">
        <f>U12組合せ!D16</f>
        <v>カテット白沢U11</v>
      </c>
      <c r="C4" s="42">
        <f t="shared" ca="1" si="1"/>
        <v>2</v>
      </c>
      <c r="D4" s="42">
        <f t="shared" ca="1" si="2"/>
        <v>4</v>
      </c>
      <c r="E4" s="42">
        <f t="shared" ca="1" si="1"/>
        <v>2</v>
      </c>
      <c r="F4" s="42">
        <f t="shared" ca="1" si="3"/>
        <v>-4</v>
      </c>
      <c r="G4" s="42">
        <f t="shared" ca="1" si="4"/>
        <v>4</v>
      </c>
    </row>
    <row r="5" spans="1:7" x14ac:dyDescent="0.4">
      <c r="A5" s="20" t="str">
        <f t="shared" ca="1" si="0"/>
        <v>A04</v>
      </c>
      <c r="B5" s="41" t="str">
        <f>U12組合せ!D17</f>
        <v>ＦＣアリーバ</v>
      </c>
      <c r="C5" s="42">
        <f t="shared" ca="1" si="1"/>
        <v>7</v>
      </c>
      <c r="D5" s="42">
        <f t="shared" ca="1" si="2"/>
        <v>4</v>
      </c>
      <c r="E5" s="42">
        <f t="shared" ca="1" si="1"/>
        <v>7</v>
      </c>
      <c r="F5" s="42">
        <f t="shared" ca="1" si="3"/>
        <v>1</v>
      </c>
      <c r="G5" s="42">
        <f t="shared" ca="1" si="4"/>
        <v>4</v>
      </c>
    </row>
    <row r="6" spans="1:7" x14ac:dyDescent="0.4">
      <c r="A6" s="20" t="str">
        <f t="shared" ca="1" si="0"/>
        <v>A05</v>
      </c>
      <c r="B6" s="41" t="str">
        <f>U12組合せ!D18</f>
        <v>ｕｎｉｏｎｓｃU12</v>
      </c>
      <c r="C6" s="42">
        <f t="shared" ca="1" si="1"/>
        <v>7</v>
      </c>
      <c r="D6" s="42">
        <f t="shared" ca="1" si="2"/>
        <v>4</v>
      </c>
      <c r="E6" s="42">
        <f t="shared" ca="1" si="1"/>
        <v>7</v>
      </c>
      <c r="F6" s="42">
        <f t="shared" ca="1" si="3"/>
        <v>4</v>
      </c>
      <c r="G6" s="42">
        <f t="shared" ca="1" si="4"/>
        <v>7</v>
      </c>
    </row>
    <row r="7" spans="1:7" x14ac:dyDescent="0.4">
      <c r="A7" s="20" t="str">
        <f t="shared" ca="1" si="0"/>
        <v>A06</v>
      </c>
      <c r="B7" s="41" t="str">
        <f>U12組合せ!D19</f>
        <v>宝木キッカーズ</v>
      </c>
      <c r="C7" s="42">
        <f t="shared" ca="1" si="1"/>
        <v>7</v>
      </c>
      <c r="D7" s="42">
        <f t="shared" ca="1" si="2"/>
        <v>4</v>
      </c>
      <c r="E7" s="42">
        <f t="shared" ca="1" si="1"/>
        <v>7</v>
      </c>
      <c r="F7" s="42">
        <f t="shared" ca="1" si="3"/>
        <v>6</v>
      </c>
      <c r="G7" s="42">
        <f t="shared" ca="1" si="4"/>
        <v>11</v>
      </c>
    </row>
    <row r="8" spans="1:7" x14ac:dyDescent="0.4">
      <c r="A8" s="20" t="str">
        <f t="shared" ca="1" si="0"/>
        <v>A07</v>
      </c>
      <c r="B8" s="41" t="str">
        <f>U12組合せ!D20</f>
        <v>サウス宇都宮ＳＣ</v>
      </c>
      <c r="C8" s="42">
        <f t="shared" ca="1" si="1"/>
        <v>3</v>
      </c>
      <c r="D8" s="42">
        <f t="shared" ca="1" si="2"/>
        <v>4</v>
      </c>
      <c r="E8" s="42">
        <f t="shared" ca="1" si="1"/>
        <v>3</v>
      </c>
      <c r="F8" s="42">
        <f t="shared" ca="1" si="3"/>
        <v>-11</v>
      </c>
      <c r="G8" s="42">
        <f t="shared" ca="1" si="4"/>
        <v>1</v>
      </c>
    </row>
    <row r="9" spans="1:7" x14ac:dyDescent="0.4">
      <c r="A9" s="20" t="str">
        <f t="shared" ca="1" si="0"/>
        <v>A08</v>
      </c>
      <c r="B9" s="41" t="str">
        <f>U12組合せ!D21</f>
        <v>ブラッドレスＳＳ</v>
      </c>
      <c r="C9" s="42">
        <f t="shared" ca="1" si="1"/>
        <v>2</v>
      </c>
      <c r="D9" s="42">
        <f t="shared" ca="1" si="2"/>
        <v>4</v>
      </c>
      <c r="E9" s="42">
        <f t="shared" ca="1" si="1"/>
        <v>2</v>
      </c>
      <c r="F9" s="42">
        <f t="shared" ca="1" si="3"/>
        <v>-2</v>
      </c>
      <c r="G9" s="42">
        <f t="shared" ca="1" si="4"/>
        <v>3</v>
      </c>
    </row>
    <row r="10" spans="1:7" x14ac:dyDescent="0.4">
      <c r="A10" s="43" t="str">
        <f t="shared" ca="1" si="0"/>
        <v>A09</v>
      </c>
      <c r="B10" s="44" t="str">
        <f>U12組合せ!D22</f>
        <v>泉ＦＣ宇都宮</v>
      </c>
      <c r="C10" s="42">
        <f t="shared" ca="1" si="1"/>
        <v>4</v>
      </c>
      <c r="D10" s="42">
        <f t="shared" ca="1" si="2"/>
        <v>4</v>
      </c>
      <c r="E10" s="42">
        <f t="shared" ca="1" si="1"/>
        <v>4</v>
      </c>
      <c r="F10" s="42">
        <f t="shared" ca="1" si="3"/>
        <v>1</v>
      </c>
      <c r="G10" s="42">
        <f t="shared" ca="1" si="4"/>
        <v>4</v>
      </c>
    </row>
    <row r="11" spans="1:7" x14ac:dyDescent="0.4">
      <c r="A11" s="43" t="str">
        <f t="shared" ca="1" si="0"/>
        <v>A10</v>
      </c>
      <c r="B11" s="45" t="str">
        <f>U12組合せ!D23</f>
        <v>昭和・戸祭ＳＣ-S</v>
      </c>
      <c r="C11" s="42">
        <f t="shared" ca="1" si="1"/>
        <v>12</v>
      </c>
      <c r="D11" s="42">
        <f t="shared" ca="1" si="2"/>
        <v>4</v>
      </c>
      <c r="E11" s="42">
        <f t="shared" ca="1" si="1"/>
        <v>12</v>
      </c>
      <c r="F11" s="42">
        <f t="shared" ca="1" si="3"/>
        <v>7</v>
      </c>
      <c r="G11" s="46">
        <f t="shared" ca="1" si="4"/>
        <v>8</v>
      </c>
    </row>
    <row r="12" spans="1:7" x14ac:dyDescent="0.4">
      <c r="A12" s="47" t="str">
        <f ca="1">INDIRECT("'Ａ～Ｄブロック星取表'!A"&amp;ROW()*2+2)</f>
        <v>B01</v>
      </c>
      <c r="B12" s="48" t="str">
        <f>U12組合せ!F14</f>
        <v>ＳＵＧＡＯ ＳＣ</v>
      </c>
      <c r="C12" s="49">
        <f ca="1">INDIRECT("'Ａ～Ｄブロック星取表'!At"&amp;ROW()*2+2)</f>
        <v>4</v>
      </c>
      <c r="D12" s="49">
        <f ca="1">INDIRECT("'Ａ～Ｄブロック星取表'!As"&amp;ROW()*2+2)</f>
        <v>4</v>
      </c>
      <c r="E12" s="49">
        <f ca="1">INDIRECT("'Ａ～Ｄブロック星取表'!At"&amp;ROW()*2+2)</f>
        <v>4</v>
      </c>
      <c r="F12" s="50">
        <f ca="1">INDIRECT("'Ａ～Ｄブロック星取表'!Aｖ"&amp;ROW()*2+2)</f>
        <v>-7</v>
      </c>
      <c r="G12" s="49">
        <f ca="1">INDIRECT("'Ａ～Ｄブロック星取表'!Aｗ"&amp;ROW()*2+2)</f>
        <v>5</v>
      </c>
    </row>
    <row r="13" spans="1:7" x14ac:dyDescent="0.4">
      <c r="A13" s="20" t="str">
        <f t="shared" ref="A13:A21" ca="1" si="5">INDIRECT("'Ａ～Ｄブロック星取表'!A"&amp;ROW()*2+2)</f>
        <v>B02</v>
      </c>
      <c r="B13" s="41" t="str">
        <f>U12組合せ!F15</f>
        <v>ＦＣグラシアス</v>
      </c>
      <c r="C13" s="42">
        <f t="shared" ref="C13:E21" ca="1" si="6">INDIRECT("'Ａ～Ｄブロック星取表'!At"&amp;ROW()*2+2)</f>
        <v>4</v>
      </c>
      <c r="D13" s="42">
        <f t="shared" ref="D13:D21" ca="1" si="7">INDIRECT("'Ａ～Ｄブロック星取表'!As"&amp;ROW()*2+2)</f>
        <v>4</v>
      </c>
      <c r="E13" s="42">
        <f t="shared" ca="1" si="6"/>
        <v>4</v>
      </c>
      <c r="F13" s="46">
        <f t="shared" ref="F13:F21" ca="1" si="8">INDIRECT("'Ａ～Ｄブロック星取表'!Aｖ"&amp;ROW()*2+2)</f>
        <v>-7</v>
      </c>
      <c r="G13" s="42">
        <f t="shared" ref="G13:G21" ca="1" si="9">INDIRECT("'Ａ～Ｄブロック星取表'!Aｗ"&amp;ROW()*2+2)</f>
        <v>4</v>
      </c>
    </row>
    <row r="14" spans="1:7" x14ac:dyDescent="0.4">
      <c r="A14" s="20" t="str">
        <f t="shared" ca="1" si="5"/>
        <v>B03</v>
      </c>
      <c r="B14" s="41" t="str">
        <f>U12組合せ!F16</f>
        <v>昭和・戸祭ＳＣ-O</v>
      </c>
      <c r="C14" s="42">
        <f t="shared" ca="1" si="6"/>
        <v>12</v>
      </c>
      <c r="D14" s="42">
        <f t="shared" ca="1" si="7"/>
        <v>4</v>
      </c>
      <c r="E14" s="42">
        <f t="shared" ca="1" si="6"/>
        <v>12</v>
      </c>
      <c r="F14" s="42">
        <f t="shared" ca="1" si="8"/>
        <v>21</v>
      </c>
      <c r="G14" s="42">
        <f t="shared" ca="1" si="9"/>
        <v>23</v>
      </c>
    </row>
    <row r="15" spans="1:7" x14ac:dyDescent="0.4">
      <c r="A15" s="20" t="str">
        <f t="shared" ca="1" si="5"/>
        <v>B04</v>
      </c>
      <c r="B15" s="41" t="str">
        <f>U12組合せ!F17</f>
        <v>シャルムグランツＳＣ</v>
      </c>
      <c r="C15" s="42">
        <f t="shared" ca="1" si="6"/>
        <v>4</v>
      </c>
      <c r="D15" s="42">
        <f t="shared" ca="1" si="7"/>
        <v>4</v>
      </c>
      <c r="E15" s="42">
        <f t="shared" ca="1" si="6"/>
        <v>4</v>
      </c>
      <c r="F15" s="42">
        <f t="shared" ca="1" si="8"/>
        <v>-8</v>
      </c>
      <c r="G15" s="42">
        <f t="shared" ca="1" si="9"/>
        <v>2</v>
      </c>
    </row>
    <row r="16" spans="1:7" x14ac:dyDescent="0.4">
      <c r="A16" s="20" t="str">
        <f t="shared" ca="1" si="5"/>
        <v>B05</v>
      </c>
      <c r="B16" s="41" t="str">
        <f>U12組合せ!F18</f>
        <v>ウエストフットコム</v>
      </c>
      <c r="C16" s="42">
        <f t="shared" ca="1" si="6"/>
        <v>5</v>
      </c>
      <c r="D16" s="42">
        <f t="shared" ca="1" si="7"/>
        <v>4</v>
      </c>
      <c r="E16" s="42">
        <f t="shared" ca="1" si="6"/>
        <v>5</v>
      </c>
      <c r="F16" s="42">
        <f t="shared" ca="1" si="8"/>
        <v>1</v>
      </c>
      <c r="G16" s="42">
        <f t="shared" ca="1" si="9"/>
        <v>6</v>
      </c>
    </row>
    <row r="17" spans="1:7" x14ac:dyDescent="0.4">
      <c r="A17" s="20" t="str">
        <f t="shared" ca="1" si="5"/>
        <v>B06</v>
      </c>
      <c r="B17" s="41" t="str">
        <f>U12組合せ!F19</f>
        <v>雀宮ＦＣセカンド</v>
      </c>
      <c r="C17" s="42">
        <f t="shared" ca="1" si="6"/>
        <v>2</v>
      </c>
      <c r="D17" s="42">
        <f t="shared" ca="1" si="7"/>
        <v>4</v>
      </c>
      <c r="E17" s="42">
        <f t="shared" ca="1" si="6"/>
        <v>2</v>
      </c>
      <c r="F17" s="42">
        <f t="shared" ca="1" si="8"/>
        <v>-10</v>
      </c>
      <c r="G17" s="42">
        <f t="shared" ca="1" si="9"/>
        <v>1</v>
      </c>
    </row>
    <row r="18" spans="1:7" x14ac:dyDescent="0.4">
      <c r="A18" s="20" t="str">
        <f t="shared" ca="1" si="5"/>
        <v>B07</v>
      </c>
      <c r="B18" s="41" t="str">
        <f>U12組合せ!F20</f>
        <v>ともぞうＳＣ</v>
      </c>
      <c r="C18" s="42">
        <f t="shared" ca="1" si="6"/>
        <v>12</v>
      </c>
      <c r="D18" s="42">
        <f t="shared" ca="1" si="7"/>
        <v>4</v>
      </c>
      <c r="E18" s="42">
        <f t="shared" ca="1" si="6"/>
        <v>12</v>
      </c>
      <c r="F18" s="42">
        <f t="shared" ca="1" si="8"/>
        <v>29</v>
      </c>
      <c r="G18" s="42">
        <f t="shared" ca="1" si="9"/>
        <v>29</v>
      </c>
    </row>
    <row r="19" spans="1:7" x14ac:dyDescent="0.4">
      <c r="A19" s="20" t="str">
        <f t="shared" ca="1" si="5"/>
        <v>B08</v>
      </c>
      <c r="B19" s="41" t="str">
        <f>U12組合せ!F21</f>
        <v>FCブロケード・陽東U11</v>
      </c>
      <c r="C19" s="42">
        <f t="shared" ca="1" si="6"/>
        <v>3</v>
      </c>
      <c r="D19" s="42">
        <f t="shared" ca="1" si="7"/>
        <v>4</v>
      </c>
      <c r="E19" s="42">
        <f t="shared" ca="1" si="6"/>
        <v>3</v>
      </c>
      <c r="F19" s="51">
        <f t="shared" ca="1" si="8"/>
        <v>-16</v>
      </c>
      <c r="G19" s="42">
        <f t="shared" ca="1" si="9"/>
        <v>6</v>
      </c>
    </row>
    <row r="20" spans="1:7" x14ac:dyDescent="0.4">
      <c r="A20" s="43" t="str">
        <f t="shared" ca="1" si="5"/>
        <v>B09</v>
      </c>
      <c r="B20" s="44" t="str">
        <f>U12組合せ!F22</f>
        <v>上三川ＳＣ</v>
      </c>
      <c r="C20" s="46">
        <f t="shared" ca="1" si="6"/>
        <v>4</v>
      </c>
      <c r="D20" s="46">
        <f t="shared" ca="1" si="7"/>
        <v>4</v>
      </c>
      <c r="E20" s="46">
        <f t="shared" ca="1" si="6"/>
        <v>4</v>
      </c>
      <c r="F20" s="52">
        <f t="shared" ca="1" si="8"/>
        <v>-3</v>
      </c>
      <c r="G20" s="46">
        <f t="shared" ca="1" si="9"/>
        <v>4</v>
      </c>
    </row>
    <row r="21" spans="1:7" x14ac:dyDescent="0.4">
      <c r="A21" s="53" t="str">
        <f t="shared" ca="1" si="5"/>
        <v>B10</v>
      </c>
      <c r="B21" s="45">
        <f>U12組合せ!F23</f>
        <v>0</v>
      </c>
      <c r="C21" s="54">
        <f t="shared" ca="1" si="6"/>
        <v>0</v>
      </c>
      <c r="D21" s="54">
        <f t="shared" ca="1" si="7"/>
        <v>0</v>
      </c>
      <c r="E21" s="54">
        <f t="shared" ca="1" si="6"/>
        <v>0</v>
      </c>
      <c r="F21" s="54">
        <f t="shared" ca="1" si="8"/>
        <v>0</v>
      </c>
      <c r="G21" s="54">
        <f t="shared" ca="1" si="9"/>
        <v>0</v>
      </c>
    </row>
    <row r="22" spans="1:7" x14ac:dyDescent="0.4">
      <c r="A22" s="47" t="str">
        <f ca="1">INDIRECT("'Ａ～Ｄブロック星取表'!A"&amp;ROW()*2+6)</f>
        <v>C01</v>
      </c>
      <c r="B22" s="48" t="str">
        <f>U12組合せ!H14</f>
        <v>清原ＳＳＳ</v>
      </c>
      <c r="C22" s="49">
        <f ca="1">INDIRECT("'Ａ～Ｄブロック星取表'!At"&amp;ROW()*2+6)</f>
        <v>7</v>
      </c>
      <c r="D22" s="49">
        <f ca="1">INDIRECT("'Ａ～Ｄブロック星取表'!As"&amp;ROW()*2+6)</f>
        <v>4</v>
      </c>
      <c r="E22" s="49">
        <f ca="1">INDIRECT("'Ａ～Ｄブロック星取表'!At"&amp;ROW()*2+6)</f>
        <v>7</v>
      </c>
      <c r="F22" s="50">
        <f ca="1">INDIRECT("'Ａ～Ｄブロック星取表'!Aｖ"&amp;ROW()*2+6)</f>
        <v>-5</v>
      </c>
      <c r="G22" s="50">
        <f ca="1">INDIRECT("'Ａ～Ｄブロック星取表'!Aｗ"&amp;ROW()*2+6)</f>
        <v>6</v>
      </c>
    </row>
    <row r="23" spans="1:7" x14ac:dyDescent="0.4">
      <c r="A23" s="20" t="str">
        <f t="shared" ref="A23:A30" ca="1" si="10">INDIRECT("'Ａ～Ｄブロック星取表'!A"&amp;ROW()*2+6)</f>
        <v>C02</v>
      </c>
      <c r="B23" s="41" t="str">
        <f>U12組合せ!H15</f>
        <v>ＦＣグランディール</v>
      </c>
      <c r="C23" s="42">
        <f t="shared" ref="C23:E30" ca="1" si="11">INDIRECT("'Ａ～Ｄブロック星取表'!At"&amp;ROW()*2+6)</f>
        <v>4</v>
      </c>
      <c r="D23" s="42">
        <f t="shared" ref="D23:D30" ca="1" si="12">INDIRECT("'Ａ～Ｄブロック星取表'!As"&amp;ROW()*2+6)</f>
        <v>4</v>
      </c>
      <c r="E23" s="42">
        <f t="shared" ca="1" si="11"/>
        <v>4</v>
      </c>
      <c r="F23" s="42">
        <f t="shared" ref="F23:F30" ca="1" si="13">INDIRECT("'Ａ～Ｄブロック星取表'!Aｖ"&amp;ROW()*2+6)</f>
        <v>-2</v>
      </c>
      <c r="G23" s="42">
        <f t="shared" ref="G23:G30" ca="1" si="14">INDIRECT("'Ａ～Ｄブロック星取表'!Aｗ"&amp;ROW()*2+6)</f>
        <v>2</v>
      </c>
    </row>
    <row r="24" spans="1:7" x14ac:dyDescent="0.4">
      <c r="A24" s="20" t="str">
        <f t="shared" ca="1" si="10"/>
        <v>C03</v>
      </c>
      <c r="B24" s="41" t="str">
        <f>U12組合せ!H16</f>
        <v>ＦＣブロケード</v>
      </c>
      <c r="C24" s="42">
        <f t="shared" ca="1" si="11"/>
        <v>2</v>
      </c>
      <c r="D24" s="42">
        <f t="shared" ca="1" si="12"/>
        <v>4</v>
      </c>
      <c r="E24" s="42">
        <f t="shared" ca="1" si="11"/>
        <v>2</v>
      </c>
      <c r="F24" s="42">
        <f t="shared" ca="1" si="13"/>
        <v>-3</v>
      </c>
      <c r="G24" s="42">
        <f t="shared" ca="1" si="14"/>
        <v>1</v>
      </c>
    </row>
    <row r="25" spans="1:7" x14ac:dyDescent="0.4">
      <c r="A25" s="20" t="str">
        <f t="shared" ca="1" si="10"/>
        <v>C04</v>
      </c>
      <c r="B25" s="41" t="str">
        <f>U12組合せ!H17</f>
        <v>緑が丘ＹＦＣ</v>
      </c>
      <c r="C25" s="42">
        <f t="shared" ca="1" si="11"/>
        <v>0</v>
      </c>
      <c r="D25" s="42">
        <f t="shared" ca="1" si="12"/>
        <v>4</v>
      </c>
      <c r="E25" s="42">
        <f t="shared" ca="1" si="11"/>
        <v>0</v>
      </c>
      <c r="F25" s="42">
        <f t="shared" ca="1" si="13"/>
        <v>-6</v>
      </c>
      <c r="G25" s="42">
        <f t="shared" ca="1" si="14"/>
        <v>6</v>
      </c>
    </row>
    <row r="26" spans="1:7" x14ac:dyDescent="0.4">
      <c r="A26" s="20" t="str">
        <f t="shared" ca="1" si="10"/>
        <v>C05</v>
      </c>
      <c r="B26" s="41" t="str">
        <f>U12組合せ!H18</f>
        <v>ともぞうＳＣ U12</v>
      </c>
      <c r="C26" s="42">
        <f t="shared" ca="1" si="11"/>
        <v>9</v>
      </c>
      <c r="D26" s="42">
        <f t="shared" ca="1" si="12"/>
        <v>4</v>
      </c>
      <c r="E26" s="42">
        <f t="shared" ca="1" si="11"/>
        <v>9</v>
      </c>
      <c r="F26" s="42">
        <f t="shared" ca="1" si="13"/>
        <v>2</v>
      </c>
      <c r="G26" s="42">
        <f t="shared" ca="1" si="14"/>
        <v>7</v>
      </c>
    </row>
    <row r="27" spans="1:7" x14ac:dyDescent="0.4">
      <c r="A27" s="20" t="str">
        <f t="shared" ca="1" si="10"/>
        <v>C06</v>
      </c>
      <c r="B27" s="41" t="str">
        <f>U12組合せ!H19</f>
        <v>ＦＣアネーロ･U-12</v>
      </c>
      <c r="C27" s="42">
        <f t="shared" ca="1" si="11"/>
        <v>12</v>
      </c>
      <c r="D27" s="42">
        <f t="shared" ca="1" si="12"/>
        <v>4</v>
      </c>
      <c r="E27" s="42">
        <f t="shared" ca="1" si="11"/>
        <v>12</v>
      </c>
      <c r="F27" s="42">
        <f t="shared" ca="1" si="13"/>
        <v>10</v>
      </c>
      <c r="G27" s="42">
        <f t="shared" ca="1" si="14"/>
        <v>11</v>
      </c>
    </row>
    <row r="28" spans="1:7" x14ac:dyDescent="0.4">
      <c r="A28" s="20" t="str">
        <f t="shared" ca="1" si="10"/>
        <v>C07</v>
      </c>
      <c r="B28" s="41" t="str">
        <f>U12組合せ!H20</f>
        <v>細谷サッカークラブ</v>
      </c>
      <c r="C28" s="42">
        <f t="shared" ca="1" si="11"/>
        <v>12</v>
      </c>
      <c r="D28" s="42">
        <f t="shared" ca="1" si="12"/>
        <v>4</v>
      </c>
      <c r="E28" s="42">
        <f t="shared" ca="1" si="11"/>
        <v>12</v>
      </c>
      <c r="F28" s="42">
        <f t="shared" ca="1" si="13"/>
        <v>14</v>
      </c>
      <c r="G28" s="42">
        <f t="shared" ca="1" si="14"/>
        <v>16</v>
      </c>
    </row>
    <row r="29" spans="1:7" x14ac:dyDescent="0.4">
      <c r="A29" s="20" t="str">
        <f t="shared" ca="1" si="10"/>
        <v>C08</v>
      </c>
      <c r="B29" s="41" t="str">
        <f>U12組合せ!H21</f>
        <v>ＦＣ Ｒｉｓｏ</v>
      </c>
      <c r="C29" s="42">
        <f t="shared" ca="1" si="11"/>
        <v>3</v>
      </c>
      <c r="D29" s="42">
        <f t="shared" ca="1" si="12"/>
        <v>4</v>
      </c>
      <c r="E29" s="42">
        <f t="shared" ca="1" si="11"/>
        <v>3</v>
      </c>
      <c r="F29" s="42">
        <f t="shared" ca="1" si="13"/>
        <v>1</v>
      </c>
      <c r="G29" s="42">
        <f t="shared" ca="1" si="14"/>
        <v>5</v>
      </c>
    </row>
    <row r="30" spans="1:7" x14ac:dyDescent="0.4">
      <c r="A30" s="43" t="str">
        <f t="shared" ca="1" si="10"/>
        <v>C09</v>
      </c>
      <c r="B30" s="44" t="str">
        <f>U12組合せ!H22</f>
        <v>上三川ＦＣ</v>
      </c>
      <c r="C30" s="46">
        <f t="shared" ca="1" si="11"/>
        <v>3</v>
      </c>
      <c r="D30" s="46">
        <f t="shared" ca="1" si="12"/>
        <v>4</v>
      </c>
      <c r="E30" s="46">
        <f t="shared" ca="1" si="11"/>
        <v>3</v>
      </c>
      <c r="F30" s="51">
        <f t="shared" ca="1" si="13"/>
        <v>-11</v>
      </c>
      <c r="G30" s="52">
        <f t="shared" ca="1" si="14"/>
        <v>2</v>
      </c>
    </row>
    <row r="31" spans="1:7" x14ac:dyDescent="0.4">
      <c r="A31" s="47" t="str">
        <f ca="1">INDIRECT("'Ａ～Ｄブロック星取表'!A"&amp;ROW()*2+8)</f>
        <v>D01</v>
      </c>
      <c r="B31" s="48" t="str">
        <f>U12組合せ!J14</f>
        <v>本郷北ＦＣ</v>
      </c>
      <c r="C31" s="49">
        <f ca="1">INDIRECT("'Ａ～Ｄブロック星取表'!At"&amp;ROW()*2+8)</f>
        <v>6</v>
      </c>
      <c r="D31" s="49">
        <f ca="1">INDIRECT("'Ａ～Ｄブロック星取表'!As"&amp;ROW()*2+8)</f>
        <v>4</v>
      </c>
      <c r="E31" s="49">
        <f ca="1">INDIRECT("'Ａ～Ｄブロック星取表'!At"&amp;ROW()*2+8)</f>
        <v>6</v>
      </c>
      <c r="F31" s="50">
        <f ca="1">INDIRECT("'Ａ～Ｄブロック星取表'!Aｖ"&amp;ROW()*2+8)</f>
        <v>-3</v>
      </c>
      <c r="G31" s="50">
        <f ca="1">INDIRECT("'Ａ～Ｄブロック星取表'!Aｗ"&amp;ROW()*2+8)</f>
        <v>4</v>
      </c>
    </row>
    <row r="32" spans="1:7" x14ac:dyDescent="0.4">
      <c r="A32" s="20" t="str">
        <f t="shared" ref="A32:A39" ca="1" si="15">INDIRECT("'Ａ～Ｄブロック星取表'!A"&amp;ROW()*2+8)</f>
        <v>D02</v>
      </c>
      <c r="B32" s="41" t="str">
        <f>U12組合せ!J15</f>
        <v>みはらＳＣjr</v>
      </c>
      <c r="C32" s="42">
        <f t="shared" ref="C32:E39" ca="1" si="16">INDIRECT("'Ａ～Ｄブロック星取表'!At"&amp;ROW()*2+8)</f>
        <v>0</v>
      </c>
      <c r="D32" s="42">
        <f t="shared" ref="D32:D39" ca="1" si="17">INDIRECT("'Ａ～Ｄブロック星取表'!As"&amp;ROW()*2+8)</f>
        <v>4</v>
      </c>
      <c r="E32" s="42">
        <f t="shared" ca="1" si="16"/>
        <v>0</v>
      </c>
      <c r="F32" s="42">
        <f t="shared" ref="F32:F39" ca="1" si="18">INDIRECT("'Ａ～Ｄブロック星取表'!Aｖ"&amp;ROW()*2+8)</f>
        <v>-16</v>
      </c>
      <c r="G32" s="42">
        <f t="shared" ref="G32:G39" ca="1" si="19">INDIRECT("'Ａ～Ｄブロック星取表'!Aｗ"&amp;ROW()*2+8)</f>
        <v>0</v>
      </c>
    </row>
    <row r="33" spans="1:7" x14ac:dyDescent="0.4">
      <c r="A33" s="20" t="str">
        <f t="shared" ca="1" si="15"/>
        <v>D03</v>
      </c>
      <c r="B33" s="41" t="str">
        <f>U12組合せ!J16</f>
        <v>Ｓ４スペランツァ</v>
      </c>
      <c r="C33" s="42">
        <f t="shared" ca="1" si="16"/>
        <v>12</v>
      </c>
      <c r="D33" s="42">
        <f t="shared" ca="1" si="17"/>
        <v>4</v>
      </c>
      <c r="E33" s="42">
        <f t="shared" ca="1" si="16"/>
        <v>12</v>
      </c>
      <c r="F33" s="42">
        <f t="shared" ca="1" si="18"/>
        <v>21</v>
      </c>
      <c r="G33" s="42">
        <f t="shared" ca="1" si="19"/>
        <v>23</v>
      </c>
    </row>
    <row r="34" spans="1:7" x14ac:dyDescent="0.4">
      <c r="A34" s="20" t="str">
        <f t="shared" ca="1" si="15"/>
        <v>D04</v>
      </c>
      <c r="B34" s="41" t="str">
        <f>U12組合せ!J17</f>
        <v>カテット白沢ＳＳ</v>
      </c>
      <c r="C34" s="42">
        <f t="shared" ca="1" si="16"/>
        <v>5</v>
      </c>
      <c r="D34" s="42">
        <f t="shared" ca="1" si="17"/>
        <v>4</v>
      </c>
      <c r="E34" s="42">
        <f t="shared" ca="1" si="16"/>
        <v>5</v>
      </c>
      <c r="F34" s="42">
        <f t="shared" ca="1" si="18"/>
        <v>1</v>
      </c>
      <c r="G34" s="42">
        <f t="shared" ca="1" si="19"/>
        <v>2</v>
      </c>
    </row>
    <row r="35" spans="1:7" x14ac:dyDescent="0.4">
      <c r="A35" s="20" t="str">
        <f t="shared" ca="1" si="15"/>
        <v>D05</v>
      </c>
      <c r="B35" s="41" t="str">
        <f>U12組合せ!J18</f>
        <v>雀宮ＦＣ</v>
      </c>
      <c r="C35" s="42">
        <f t="shared" ca="1" si="16"/>
        <v>8</v>
      </c>
      <c r="D35" s="42">
        <f t="shared" ca="1" si="17"/>
        <v>4</v>
      </c>
      <c r="E35" s="42">
        <f t="shared" ca="1" si="16"/>
        <v>8</v>
      </c>
      <c r="F35" s="42">
        <f t="shared" ca="1" si="18"/>
        <v>7</v>
      </c>
      <c r="G35" s="42">
        <f t="shared" ca="1" si="19"/>
        <v>7</v>
      </c>
    </row>
    <row r="36" spans="1:7" x14ac:dyDescent="0.4">
      <c r="A36" s="20" t="str">
        <f t="shared" ca="1" si="15"/>
        <v>D06</v>
      </c>
      <c r="B36" s="41" t="str">
        <f>U12組合せ!J19</f>
        <v>富士見ＳＳＳ</v>
      </c>
      <c r="C36" s="42">
        <f t="shared" ca="1" si="16"/>
        <v>4</v>
      </c>
      <c r="D36" s="42">
        <f t="shared" ca="1" si="17"/>
        <v>4</v>
      </c>
      <c r="E36" s="42">
        <f t="shared" ca="1" si="16"/>
        <v>4</v>
      </c>
      <c r="F36" s="42">
        <f t="shared" ca="1" si="18"/>
        <v>-2</v>
      </c>
      <c r="G36" s="42">
        <f t="shared" ca="1" si="19"/>
        <v>4</v>
      </c>
    </row>
    <row r="37" spans="1:7" x14ac:dyDescent="0.4">
      <c r="A37" s="20" t="str">
        <f t="shared" ca="1" si="15"/>
        <v>D07</v>
      </c>
      <c r="B37" s="41" t="str">
        <f>U12組合せ!J20</f>
        <v>ＦＣみらいＶ</v>
      </c>
      <c r="C37" s="42">
        <f t="shared" ca="1" si="16"/>
        <v>10</v>
      </c>
      <c r="D37" s="42">
        <f t="shared" ca="1" si="17"/>
        <v>4</v>
      </c>
      <c r="E37" s="42">
        <f t="shared" ca="1" si="16"/>
        <v>10</v>
      </c>
      <c r="F37" s="42">
        <f t="shared" ca="1" si="18"/>
        <v>3</v>
      </c>
      <c r="G37" s="42">
        <f t="shared" ca="1" si="19"/>
        <v>3</v>
      </c>
    </row>
    <row r="38" spans="1:7" x14ac:dyDescent="0.4">
      <c r="A38" s="20" t="str">
        <f t="shared" ca="1" si="15"/>
        <v>D08</v>
      </c>
      <c r="B38" s="41" t="str">
        <f>U12組合せ!J21</f>
        <v>上河内ＪＳＣ</v>
      </c>
      <c r="C38" s="42">
        <f t="shared" ca="1" si="16"/>
        <v>6</v>
      </c>
      <c r="D38" s="42">
        <f t="shared" ca="1" si="17"/>
        <v>4</v>
      </c>
      <c r="E38" s="42">
        <f t="shared" ca="1" si="16"/>
        <v>6</v>
      </c>
      <c r="F38" s="42">
        <f t="shared" ca="1" si="18"/>
        <v>0</v>
      </c>
      <c r="G38" s="42">
        <f t="shared" ca="1" si="19"/>
        <v>3</v>
      </c>
    </row>
    <row r="39" spans="1:7" x14ac:dyDescent="0.4">
      <c r="A39" s="20" t="str">
        <f t="shared" ca="1" si="15"/>
        <v>D09</v>
      </c>
      <c r="B39" s="41" t="str">
        <f>U12組合せ!J22</f>
        <v>ジュベニール</v>
      </c>
      <c r="C39" s="42">
        <f t="shared" ca="1" si="16"/>
        <v>0</v>
      </c>
      <c r="D39" s="42">
        <f t="shared" ca="1" si="17"/>
        <v>4</v>
      </c>
      <c r="E39" s="42">
        <f t="shared" ca="1" si="16"/>
        <v>0</v>
      </c>
      <c r="F39" s="51">
        <f t="shared" ca="1" si="18"/>
        <v>-11</v>
      </c>
      <c r="G39" s="42">
        <f t="shared" ca="1" si="19"/>
        <v>1</v>
      </c>
    </row>
  </sheetData>
  <phoneticPr fontId="53"/>
  <printOptions horizontalCentered="1"/>
  <pageMargins left="0" right="0" top="0.59055118110236227" bottom="0.19685039370078741" header="0.31496062992125984" footer="0.31496062992125984"/>
  <pageSetup paperSize="9" orientation="portrait" r:id="rId1"/>
  <ignoredErrors>
    <ignoredError sqref="D2:G39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3"/>
  <dimension ref="A1:BD89"/>
  <sheetViews>
    <sheetView showGridLines="0" tabSelected="1" view="pageBreakPreview" topLeftCell="M1" zoomScaleNormal="100" zoomScaleSheetLayoutView="100" workbookViewId="0">
      <selection sqref="A1:AZ1"/>
    </sheetView>
  </sheetViews>
  <sheetFormatPr defaultColWidth="3.75" defaultRowHeight="24" x14ac:dyDescent="0.4"/>
  <cols>
    <col min="1" max="44" width="3.75" style="239" customWidth="1"/>
    <col min="45" max="45" width="8" style="239" bestFit="1" customWidth="1"/>
    <col min="46" max="46" width="11.75" style="239" customWidth="1"/>
    <col min="47" max="49" width="11.75" style="240" customWidth="1"/>
    <col min="50" max="50" width="11.75" style="240" hidden="1" customWidth="1"/>
    <col min="51" max="51" width="11.75" style="240" customWidth="1"/>
    <col min="52" max="52" width="11.75" style="241" hidden="1" customWidth="1"/>
    <col min="53" max="53" width="11.75" style="241" customWidth="1"/>
    <col min="54" max="249" width="9" style="239" customWidth="1"/>
    <col min="250" max="16384" width="3.75" style="239"/>
  </cols>
  <sheetData>
    <row r="1" spans="1:53" ht="27" customHeight="1" x14ac:dyDescent="0.4">
      <c r="A1" s="686" t="s">
        <v>544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  <c r="O1" s="686"/>
      <c r="P1" s="686"/>
      <c r="Q1" s="686"/>
      <c r="R1" s="686"/>
      <c r="S1" s="686"/>
      <c r="T1" s="686"/>
      <c r="U1" s="686"/>
      <c r="V1" s="686"/>
      <c r="W1" s="686"/>
      <c r="X1" s="686"/>
      <c r="Y1" s="686"/>
      <c r="Z1" s="686"/>
      <c r="AA1" s="686"/>
      <c r="AB1" s="686"/>
      <c r="AC1" s="686"/>
      <c r="AD1" s="686"/>
      <c r="AE1" s="686"/>
      <c r="AF1" s="686"/>
      <c r="AG1" s="686"/>
      <c r="AH1" s="686"/>
      <c r="AI1" s="686"/>
      <c r="AJ1" s="686"/>
      <c r="AK1" s="686"/>
      <c r="AL1" s="686"/>
      <c r="AM1" s="686"/>
      <c r="AN1" s="686"/>
      <c r="AO1" s="686"/>
      <c r="AP1" s="686"/>
      <c r="AQ1" s="686"/>
      <c r="AR1" s="686"/>
      <c r="AS1" s="686"/>
      <c r="AT1" s="686"/>
      <c r="AU1" s="687"/>
      <c r="AV1" s="687"/>
      <c r="AW1" s="687"/>
      <c r="AX1" s="687"/>
      <c r="AY1" s="687"/>
      <c r="AZ1" s="687"/>
      <c r="BA1" s="238"/>
    </row>
    <row r="2" spans="1:53" ht="21" customHeight="1" x14ac:dyDescent="0.4">
      <c r="B2" s="691"/>
      <c r="C2" s="691"/>
      <c r="D2" s="691"/>
      <c r="E2" s="691"/>
      <c r="F2" s="691"/>
      <c r="G2" s="691"/>
      <c r="H2" s="691"/>
      <c r="I2" s="691"/>
      <c r="J2" s="691"/>
      <c r="K2" s="691"/>
    </row>
    <row r="3" spans="1:53" x14ac:dyDescent="0.4">
      <c r="A3" s="681" t="s">
        <v>59</v>
      </c>
      <c r="B3" s="681"/>
      <c r="C3" s="681"/>
      <c r="D3" s="681"/>
      <c r="E3" s="681" t="str">
        <f ca="1">A5</f>
        <v>岡西ＦＣ</v>
      </c>
      <c r="F3" s="681"/>
      <c r="G3" s="681"/>
      <c r="H3" s="681"/>
      <c r="I3" s="682" t="str">
        <f ca="1">A7</f>
        <v>国本ＪＳＣ</v>
      </c>
      <c r="J3" s="682"/>
      <c r="K3" s="682"/>
      <c r="L3" s="682"/>
      <c r="M3" s="682" t="str">
        <f ca="1">A9</f>
        <v>カテット白沢U11</v>
      </c>
      <c r="N3" s="682"/>
      <c r="O3" s="682"/>
      <c r="P3" s="682"/>
      <c r="Q3" s="682" t="str">
        <f ca="1">A11</f>
        <v>ＦＣアリーバ</v>
      </c>
      <c r="R3" s="682"/>
      <c r="S3" s="682"/>
      <c r="T3" s="682"/>
      <c r="U3" s="681" t="str">
        <f ca="1">A13</f>
        <v>ｕｎｉｏｎｓｃU12</v>
      </c>
      <c r="V3" s="681"/>
      <c r="W3" s="681"/>
      <c r="X3" s="681"/>
      <c r="Y3" s="682" t="str">
        <f ca="1">A15</f>
        <v>宝木キッカーズ</v>
      </c>
      <c r="Z3" s="682"/>
      <c r="AA3" s="682"/>
      <c r="AB3" s="682"/>
      <c r="AC3" s="682" t="str">
        <f ca="1">A17</f>
        <v>サウス宇都宮ＳＣ</v>
      </c>
      <c r="AD3" s="682"/>
      <c r="AE3" s="682"/>
      <c r="AF3" s="682"/>
      <c r="AG3" s="682" t="str">
        <f ca="1">A19</f>
        <v>ブラッドレスＳＳ</v>
      </c>
      <c r="AH3" s="682"/>
      <c r="AI3" s="682"/>
      <c r="AJ3" s="682"/>
      <c r="AK3" s="682" t="str">
        <f ca="1">A21</f>
        <v>泉ＦＣ宇都宮</v>
      </c>
      <c r="AL3" s="682"/>
      <c r="AM3" s="682"/>
      <c r="AN3" s="682"/>
      <c r="AO3" s="682" t="str">
        <f ca="1">A23</f>
        <v>昭和・戸祭ＳＣ-S</v>
      </c>
      <c r="AP3" s="682"/>
      <c r="AQ3" s="682"/>
      <c r="AR3" s="682"/>
      <c r="AS3" s="242" t="s">
        <v>57</v>
      </c>
      <c r="AT3" s="243" t="s">
        <v>56</v>
      </c>
      <c r="AU3" s="244" t="s">
        <v>60</v>
      </c>
      <c r="AV3" s="244" t="s">
        <v>58</v>
      </c>
      <c r="AW3" s="244" t="s">
        <v>28</v>
      </c>
      <c r="AX3" s="244"/>
      <c r="AY3" s="244" t="s">
        <v>61</v>
      </c>
      <c r="AZ3" s="245" t="s">
        <v>62</v>
      </c>
      <c r="BA3" s="246"/>
    </row>
    <row r="4" spans="1:53" ht="17.25" customHeight="1" x14ac:dyDescent="0.4">
      <c r="A4" s="675" t="s">
        <v>63</v>
      </c>
      <c r="B4" s="676"/>
      <c r="C4" s="676"/>
      <c r="D4" s="676"/>
      <c r="E4" s="616"/>
      <c r="F4" s="617"/>
      <c r="G4" s="617"/>
      <c r="H4" s="618"/>
      <c r="I4" s="663" t="str">
        <f>IF(OR(J4="",L4=""),"",IF(J4&gt;L4,"○",IF(J4&lt;L4,"×",IF(J4=L4,"△"))))</f>
        <v>×</v>
      </c>
      <c r="J4" s="661">
        <f>Ａブロック対戦表!Q13</f>
        <v>0</v>
      </c>
      <c r="K4" s="630" t="s">
        <v>64</v>
      </c>
      <c r="L4" s="655">
        <f>Ａブロック対戦表!V13</f>
        <v>2</v>
      </c>
      <c r="M4" s="663" t="str">
        <f>IF(OR(N4="",P4=""),"",IF(N4&gt;P4,"○",IF(N4&lt;P4,"×",IF(N4=P4,"△"))))</f>
        <v>△</v>
      </c>
      <c r="N4" s="659">
        <f>Ａブロック対戦表!Q48</f>
        <v>1</v>
      </c>
      <c r="O4" s="628" t="s">
        <v>64</v>
      </c>
      <c r="P4" s="624">
        <f>Ａブロック対戦表!V48</f>
        <v>1</v>
      </c>
      <c r="Q4" s="663" t="str">
        <f t="shared" ref="Q4:Q8" si="0">IF(OR(R4="",T4=""),"",IF(R4&gt;T4,"○",IF(R4&lt;T4,"×",IF(R4=T4,"△"))))</f>
        <v/>
      </c>
      <c r="R4" s="673" t="str">
        <f>Ａブロック対戦表!Q87</f>
        <v/>
      </c>
      <c r="S4" s="626" t="s">
        <v>30</v>
      </c>
      <c r="T4" s="622" t="str">
        <f>Ａブロック対戦表!V87</f>
        <v/>
      </c>
      <c r="U4" s="663" t="str">
        <f t="shared" ref="U4:U8" si="1">IF(OR(V4="",X4=""),"",IF(V4&gt;X4,"○",IF(V4&lt;X4,"×",IF(V4=X4,"△"))))</f>
        <v/>
      </c>
      <c r="V4" s="657" t="str">
        <f>Ａブロック対戦表!Q118</f>
        <v/>
      </c>
      <c r="W4" s="626" t="s">
        <v>30</v>
      </c>
      <c r="X4" s="622" t="str">
        <f>Ａブロック対戦表!V118</f>
        <v/>
      </c>
      <c r="Y4" s="663" t="str">
        <f t="shared" ref="Y4:Y8" si="2">IF(OR(Z4="",AB4=""),"",IF(Z4&gt;AB4,"○",IF(Z4&lt;AB4,"×",IF(Z4=AB4,"△"))))</f>
        <v/>
      </c>
      <c r="Z4" s="657" t="str">
        <f>Ａブロック対戦表!Q145</f>
        <v/>
      </c>
      <c r="AA4" s="626" t="s">
        <v>30</v>
      </c>
      <c r="AB4" s="622" t="str">
        <f>Ａブロック対戦表!V145</f>
        <v/>
      </c>
      <c r="AC4" s="663" t="str">
        <f t="shared" ref="AC4:AC8" si="3">IF(OR(AD4="",AF4=""),"",IF(AD4&gt;AF4,"○",IF(AD4&lt;AF4,"×",IF(AD4=AF4,"△"))))</f>
        <v/>
      </c>
      <c r="AD4" s="657" t="str">
        <f>Ａブロック対戦表!V112</f>
        <v/>
      </c>
      <c r="AE4" s="626" t="s">
        <v>30</v>
      </c>
      <c r="AF4" s="622" t="str">
        <f>Ａブロック対戦表!Q112</f>
        <v/>
      </c>
      <c r="AG4" s="663" t="str">
        <f t="shared" ref="AG4:AG8" si="4">IF(OR(AH4="",AJ4=""),"",IF(AH4&gt;AJ4,"○",IF(AH4&lt;AJ4,"×",IF(AH4=AJ4,"△"))))</f>
        <v/>
      </c>
      <c r="AH4" s="657" t="str">
        <f>'Ａ＋Ｂブロック対戦表'!V79</f>
        <v/>
      </c>
      <c r="AI4" s="626" t="s">
        <v>30</v>
      </c>
      <c r="AJ4" s="626" t="str">
        <f>'Ａ＋Ｂブロック対戦表'!Q79</f>
        <v/>
      </c>
      <c r="AK4" s="663" t="str">
        <f t="shared" ref="AK4:AK8" si="5">IF(OR(AL4="",AN4=""),"",IF(AL4&gt;AN4,"○",IF(AL4&lt;AN4,"×",IF(AL4=AN4,"△"))))</f>
        <v>○</v>
      </c>
      <c r="AL4" s="659">
        <f>Ａブロック対戦表!V56</f>
        <v>1</v>
      </c>
      <c r="AM4" s="628" t="s">
        <v>30</v>
      </c>
      <c r="AN4" s="628">
        <f>Ａブロック対戦表!Q56</f>
        <v>0</v>
      </c>
      <c r="AO4" s="663" t="str">
        <f t="shared" ref="AO4:AO8" si="6">IF(OR(AP4="",AR4=""),"",IF(AP4&gt;AR4,"○",IF(AP4&lt;AR4,"×",IF(AP4=AR4,"△"))))</f>
        <v>×</v>
      </c>
      <c r="AP4" s="661">
        <f>Ａブロック対戦表!V21</f>
        <v>0</v>
      </c>
      <c r="AQ4" s="630" t="s">
        <v>64</v>
      </c>
      <c r="AR4" s="692">
        <f>Ａブロック対戦表!Q21</f>
        <v>2</v>
      </c>
      <c r="AS4" s="647">
        <f t="shared" ref="AS4:AS8" si="7">COUNTIF(E4:AR5,"○")+COUNTIF(E4:AR5,"×")+COUNTIF(E4:AR5,"△")</f>
        <v>4</v>
      </c>
      <c r="AT4" s="645">
        <f t="shared" ref="AT4:AT8" si="8">COUNTIF(E4:AR5,"○")*3+COUNTIF(E4:AR5,"△")</f>
        <v>4</v>
      </c>
      <c r="AU4" s="641">
        <f t="shared" ref="AU4:AU8" si="9">IF(AS4=0,0,AT4/(AS4*3))</f>
        <v>0.33333333333333331</v>
      </c>
      <c r="AV4" s="634">
        <f>AW4-SUM(H4,L4,P4,T4,X4,AB4,AF4,AJ4,AN4,AR4)</f>
        <v>-3</v>
      </c>
      <c r="AW4" s="634">
        <f t="shared" ref="AW4:AW8" si="10">SUM(F4,J4,N4,R4,V4,Z4,AD4,AH4,AL4,AP4)</f>
        <v>2</v>
      </c>
      <c r="AX4" s="634">
        <f t="shared" ref="AX4:AX8" si="11">AU4+AV4*0.001+AW4*0.00001</f>
        <v>0.33035333333333333</v>
      </c>
      <c r="AY4" s="636">
        <f>RANK(AX4,$AX$4:$AX$23)</f>
        <v>7</v>
      </c>
      <c r="AZ4" s="634">
        <f>RANK(AX4,$AX$4:$AX$87)</f>
        <v>23</v>
      </c>
      <c r="BA4" s="247"/>
    </row>
    <row r="5" spans="1:53" ht="17.25" customHeight="1" x14ac:dyDescent="0.4">
      <c r="A5" s="678" t="str">
        <f t="shared" ref="A5:A9" ca="1" si="12">INDIRECT("U12組合せ!d"&amp;(ROW()-1)/2+12)</f>
        <v>岡西ＦＣ</v>
      </c>
      <c r="B5" s="679"/>
      <c r="C5" s="679"/>
      <c r="D5" s="680"/>
      <c r="E5" s="619"/>
      <c r="F5" s="620"/>
      <c r="G5" s="620"/>
      <c r="H5" s="621"/>
      <c r="I5" s="664"/>
      <c r="J5" s="662"/>
      <c r="K5" s="631"/>
      <c r="L5" s="656"/>
      <c r="M5" s="664"/>
      <c r="N5" s="660"/>
      <c r="O5" s="629"/>
      <c r="P5" s="625"/>
      <c r="Q5" s="664"/>
      <c r="R5" s="674"/>
      <c r="S5" s="627"/>
      <c r="T5" s="623"/>
      <c r="U5" s="664"/>
      <c r="V5" s="658"/>
      <c r="W5" s="627"/>
      <c r="X5" s="623"/>
      <c r="Y5" s="664"/>
      <c r="Z5" s="658"/>
      <c r="AA5" s="627"/>
      <c r="AB5" s="623"/>
      <c r="AC5" s="664"/>
      <c r="AD5" s="658"/>
      <c r="AE5" s="627"/>
      <c r="AF5" s="623"/>
      <c r="AG5" s="664"/>
      <c r="AH5" s="658"/>
      <c r="AI5" s="627"/>
      <c r="AJ5" s="627"/>
      <c r="AK5" s="664"/>
      <c r="AL5" s="660"/>
      <c r="AM5" s="629"/>
      <c r="AN5" s="629"/>
      <c r="AO5" s="664"/>
      <c r="AP5" s="662"/>
      <c r="AQ5" s="631"/>
      <c r="AR5" s="693"/>
      <c r="AS5" s="648"/>
      <c r="AT5" s="646"/>
      <c r="AU5" s="642"/>
      <c r="AV5" s="637"/>
      <c r="AW5" s="637"/>
      <c r="AX5" s="637"/>
      <c r="AY5" s="635"/>
      <c r="AZ5" s="635"/>
      <c r="BA5" s="247"/>
    </row>
    <row r="6" spans="1:53" ht="17.25" customHeight="1" x14ac:dyDescent="0.4">
      <c r="A6" s="675" t="s">
        <v>65</v>
      </c>
      <c r="B6" s="676"/>
      <c r="C6" s="676"/>
      <c r="D6" s="677"/>
      <c r="E6" s="663" t="str">
        <f t="shared" ref="E6:E10" si="13">IF(OR(F6="",H6=""),"",IF(F6&gt;H6,"○",IF(F6&lt;H6,"×",IF(F6=H6,"△"))))</f>
        <v>○</v>
      </c>
      <c r="F6" s="657">
        <f>IF(L4="","",L4)</f>
        <v>2</v>
      </c>
      <c r="G6" s="626" t="s">
        <v>30</v>
      </c>
      <c r="H6" s="622">
        <f>IF(J4="","",J4)</f>
        <v>0</v>
      </c>
      <c r="I6" s="616"/>
      <c r="J6" s="617"/>
      <c r="K6" s="617"/>
      <c r="L6" s="618"/>
      <c r="M6" s="663" t="str">
        <f>IF(OR(N6="",P6=""),"",IF(N6&gt;P6,"○",IF(N6&lt;P6,"×",IF(N6=P6,"△"))))</f>
        <v>○</v>
      </c>
      <c r="N6" s="661">
        <f>Ａブロック対戦表!Q19</f>
        <v>3</v>
      </c>
      <c r="O6" s="630" t="s">
        <v>64</v>
      </c>
      <c r="P6" s="655">
        <f>Ａブロック対戦表!V19</f>
        <v>1</v>
      </c>
      <c r="Q6" s="663" t="str">
        <f t="shared" si="0"/>
        <v>△</v>
      </c>
      <c r="R6" s="659">
        <f>Ａブロック対戦表!Q44</f>
        <v>1</v>
      </c>
      <c r="S6" s="628" t="s">
        <v>30</v>
      </c>
      <c r="T6" s="624">
        <f>Ａブロック対戦表!V44</f>
        <v>1</v>
      </c>
      <c r="U6" s="663" t="str">
        <f t="shared" si="1"/>
        <v/>
      </c>
      <c r="V6" s="657" t="str">
        <f>Ａブロック対戦表!Q75</f>
        <v/>
      </c>
      <c r="W6" s="626" t="s">
        <v>30</v>
      </c>
      <c r="X6" s="622" t="str">
        <f>Ａブロック対戦表!V75</f>
        <v/>
      </c>
      <c r="Y6" s="663" t="str">
        <f t="shared" si="2"/>
        <v/>
      </c>
      <c r="Z6" s="657" t="str">
        <f>Ａブロック対戦表!Q106</f>
        <v/>
      </c>
      <c r="AA6" s="626" t="s">
        <v>30</v>
      </c>
      <c r="AB6" s="622" t="str">
        <f>Ａブロック対戦表!V106</f>
        <v/>
      </c>
      <c r="AC6" s="663" t="str">
        <f t="shared" si="3"/>
        <v/>
      </c>
      <c r="AD6" s="657" t="str">
        <f>Ａブロック対戦表!Q137</f>
        <v/>
      </c>
      <c r="AE6" s="626" t="s">
        <v>30</v>
      </c>
      <c r="AF6" s="622" t="str">
        <f>Ａブロック対戦表!V137</f>
        <v/>
      </c>
      <c r="AG6" s="663" t="str">
        <f t="shared" si="4"/>
        <v/>
      </c>
      <c r="AH6" s="657" t="str">
        <f>Ａブロック対戦表!V114</f>
        <v/>
      </c>
      <c r="AI6" s="626" t="s">
        <v>30</v>
      </c>
      <c r="AJ6" s="622" t="str">
        <f>Ａブロック対戦表!Q114</f>
        <v/>
      </c>
      <c r="AK6" s="663" t="str">
        <f t="shared" si="5"/>
        <v/>
      </c>
      <c r="AL6" s="657" t="str">
        <f>Ａブロック対戦表!V81</f>
        <v/>
      </c>
      <c r="AM6" s="626" t="s">
        <v>30</v>
      </c>
      <c r="AN6" s="626" t="str">
        <f>Ａブロック対戦表!Q81</f>
        <v/>
      </c>
      <c r="AO6" s="663" t="str">
        <f t="shared" si="6"/>
        <v>×</v>
      </c>
      <c r="AP6" s="659">
        <f>Ａブロック対戦表!V52</f>
        <v>0</v>
      </c>
      <c r="AQ6" s="628" t="s">
        <v>64</v>
      </c>
      <c r="AR6" s="649">
        <f>Ａブロック対戦表!Q52</f>
        <v>3</v>
      </c>
      <c r="AS6" s="647">
        <f t="shared" si="7"/>
        <v>4</v>
      </c>
      <c r="AT6" s="643">
        <f t="shared" si="8"/>
        <v>7</v>
      </c>
      <c r="AU6" s="639">
        <f t="shared" si="9"/>
        <v>0.58333333333333337</v>
      </c>
      <c r="AV6" s="634">
        <f t="shared" ref="AV6" si="14">AW6-SUM(H6,L6,P6,T6,X6,AB6,AF6,AJ6,AN6,AR6)</f>
        <v>1</v>
      </c>
      <c r="AW6" s="634">
        <f t="shared" si="10"/>
        <v>6</v>
      </c>
      <c r="AX6" s="634">
        <f t="shared" si="11"/>
        <v>0.58439333333333332</v>
      </c>
      <c r="AY6" s="636">
        <f>RANK(AX6,$AX$4:$AX$23)</f>
        <v>4</v>
      </c>
      <c r="AZ6" s="634">
        <f>RANK(AX6,$AX$4:$AX$87)</f>
        <v>12</v>
      </c>
      <c r="BA6" s="247"/>
    </row>
    <row r="7" spans="1:53" ht="17.25" customHeight="1" x14ac:dyDescent="0.4">
      <c r="A7" s="678" t="str">
        <f t="shared" ca="1" si="12"/>
        <v>国本ＪＳＣ</v>
      </c>
      <c r="B7" s="679"/>
      <c r="C7" s="679"/>
      <c r="D7" s="680"/>
      <c r="E7" s="664"/>
      <c r="F7" s="658"/>
      <c r="G7" s="627"/>
      <c r="H7" s="623"/>
      <c r="I7" s="619"/>
      <c r="J7" s="620"/>
      <c r="K7" s="620"/>
      <c r="L7" s="621"/>
      <c r="M7" s="664"/>
      <c r="N7" s="662"/>
      <c r="O7" s="631"/>
      <c r="P7" s="656"/>
      <c r="Q7" s="664"/>
      <c r="R7" s="660"/>
      <c r="S7" s="629"/>
      <c r="T7" s="625"/>
      <c r="U7" s="664"/>
      <c r="V7" s="658"/>
      <c r="W7" s="627"/>
      <c r="X7" s="623"/>
      <c r="Y7" s="664"/>
      <c r="Z7" s="658"/>
      <c r="AA7" s="627"/>
      <c r="AB7" s="623"/>
      <c r="AC7" s="664"/>
      <c r="AD7" s="658"/>
      <c r="AE7" s="627"/>
      <c r="AF7" s="623"/>
      <c r="AG7" s="664"/>
      <c r="AH7" s="658"/>
      <c r="AI7" s="627"/>
      <c r="AJ7" s="623"/>
      <c r="AK7" s="664"/>
      <c r="AL7" s="658"/>
      <c r="AM7" s="627"/>
      <c r="AN7" s="627"/>
      <c r="AO7" s="664"/>
      <c r="AP7" s="660"/>
      <c r="AQ7" s="629"/>
      <c r="AR7" s="650"/>
      <c r="AS7" s="648"/>
      <c r="AT7" s="644"/>
      <c r="AU7" s="640"/>
      <c r="AV7" s="637"/>
      <c r="AW7" s="637"/>
      <c r="AX7" s="637"/>
      <c r="AY7" s="635"/>
      <c r="AZ7" s="635"/>
      <c r="BA7" s="247"/>
    </row>
    <row r="8" spans="1:53" ht="17.25" customHeight="1" x14ac:dyDescent="0.4">
      <c r="A8" s="675" t="s">
        <v>66</v>
      </c>
      <c r="B8" s="676"/>
      <c r="C8" s="676"/>
      <c r="D8" s="677"/>
      <c r="E8" s="663" t="str">
        <f t="shared" si="13"/>
        <v>△</v>
      </c>
      <c r="F8" s="657">
        <f>IF(P4="","",P4)</f>
        <v>1</v>
      </c>
      <c r="G8" s="626" t="s">
        <v>30</v>
      </c>
      <c r="H8" s="622">
        <f>IF(N4="","",N4)</f>
        <v>1</v>
      </c>
      <c r="I8" s="663" t="str">
        <f t="shared" ref="I8:I12" si="15">IF(OR(J8="",L8=""),"",IF(J8&gt;L8,"○",IF(J8&lt;L8,"×",IF(J8=L8,"△"))))</f>
        <v>×</v>
      </c>
      <c r="J8" s="657">
        <f>IF(P6="","",P6)</f>
        <v>1</v>
      </c>
      <c r="K8" s="626" t="s">
        <v>30</v>
      </c>
      <c r="L8" s="622">
        <f>IF(N6="","",N6)</f>
        <v>3</v>
      </c>
      <c r="M8" s="616"/>
      <c r="N8" s="617"/>
      <c r="O8" s="617"/>
      <c r="P8" s="618"/>
      <c r="Q8" s="663" t="str">
        <f t="shared" si="0"/>
        <v>×</v>
      </c>
      <c r="R8" s="661">
        <f>'Ａ＋Ｂブロック対戦表'!Q13</f>
        <v>0</v>
      </c>
      <c r="S8" s="630" t="s">
        <v>64</v>
      </c>
      <c r="T8" s="655">
        <f>'Ａ＋Ｂブロック対戦表'!V13</f>
        <v>2</v>
      </c>
      <c r="U8" s="663" t="str">
        <f t="shared" si="1"/>
        <v>△</v>
      </c>
      <c r="V8" s="659">
        <f>'Ａ＋Ｂブロック対戦表'!Q52</f>
        <v>2</v>
      </c>
      <c r="W8" s="628" t="s">
        <v>30</v>
      </c>
      <c r="X8" s="624">
        <f>'Ａ＋Ｂブロック対戦表'!V52</f>
        <v>2</v>
      </c>
      <c r="Y8" s="663" t="str">
        <f t="shared" si="2"/>
        <v/>
      </c>
      <c r="Z8" s="657" t="str">
        <f>Ａブロック対戦表!Q85</f>
        <v/>
      </c>
      <c r="AA8" s="626" t="s">
        <v>30</v>
      </c>
      <c r="AB8" s="622" t="str">
        <f>Ａブロック対戦表!V85</f>
        <v/>
      </c>
      <c r="AC8" s="663" t="str">
        <f t="shared" si="3"/>
        <v/>
      </c>
      <c r="AD8" s="657" t="str">
        <f>'Ａ＋Ｂブロック対戦表'!Q106</f>
        <v/>
      </c>
      <c r="AE8" s="626" t="s">
        <v>30</v>
      </c>
      <c r="AF8" s="622" t="str">
        <f>'Ａ＋Ｂブロック対戦表'!V106</f>
        <v/>
      </c>
      <c r="AG8" s="663" t="str">
        <f t="shared" si="4"/>
        <v/>
      </c>
      <c r="AH8" s="657" t="str">
        <f>Ａブロック対戦表!Q139</f>
        <v/>
      </c>
      <c r="AI8" s="626" t="s">
        <v>30</v>
      </c>
      <c r="AJ8" s="622" t="str">
        <f>Ａブロック対戦表!V139</f>
        <v/>
      </c>
      <c r="AK8" s="663" t="str">
        <f t="shared" si="5"/>
        <v/>
      </c>
      <c r="AL8" s="657" t="str">
        <f>'Ａ＋Ｂブロック対戦表'!V114</f>
        <v/>
      </c>
      <c r="AM8" s="626" t="s">
        <v>30</v>
      </c>
      <c r="AN8" s="626" t="str">
        <f>'Ａ＋Ｂブロック対戦表'!Q114</f>
        <v/>
      </c>
      <c r="AO8" s="663" t="str">
        <f t="shared" si="6"/>
        <v/>
      </c>
      <c r="AP8" s="657" t="str">
        <f>Ａブロック対戦表!V77</f>
        <v/>
      </c>
      <c r="AQ8" s="626" t="s">
        <v>64</v>
      </c>
      <c r="AR8" s="622" t="str">
        <f>Ａブロック対戦表!Q77</f>
        <v/>
      </c>
      <c r="AS8" s="647">
        <f t="shared" si="7"/>
        <v>4</v>
      </c>
      <c r="AT8" s="645">
        <f t="shared" si="8"/>
        <v>2</v>
      </c>
      <c r="AU8" s="641">
        <f t="shared" si="9"/>
        <v>0.16666666666666666</v>
      </c>
      <c r="AV8" s="634">
        <f t="shared" ref="AV8" si="16">AW8-SUM(H8,L8,P8,T8,X8,AB8,AF8,AJ8,AN8,AR8)</f>
        <v>-4</v>
      </c>
      <c r="AW8" s="634">
        <f t="shared" si="10"/>
        <v>4</v>
      </c>
      <c r="AX8" s="634">
        <f t="shared" si="11"/>
        <v>0.16270666666666667</v>
      </c>
      <c r="AY8" s="636">
        <f>RANK(AX8,$AX$4:$AX$23)</f>
        <v>10</v>
      </c>
      <c r="AZ8" s="634">
        <f>RANK(AX8,$AX$4:$AX$87)</f>
        <v>33</v>
      </c>
      <c r="BA8" s="247"/>
    </row>
    <row r="9" spans="1:53" ht="17.25" customHeight="1" x14ac:dyDescent="0.4">
      <c r="A9" s="678" t="str">
        <f t="shared" ca="1" si="12"/>
        <v>カテット白沢U11</v>
      </c>
      <c r="B9" s="679"/>
      <c r="C9" s="679"/>
      <c r="D9" s="680"/>
      <c r="E9" s="664"/>
      <c r="F9" s="658"/>
      <c r="G9" s="627"/>
      <c r="H9" s="623"/>
      <c r="I9" s="664"/>
      <c r="J9" s="658"/>
      <c r="K9" s="627"/>
      <c r="L9" s="623"/>
      <c r="M9" s="619"/>
      <c r="N9" s="620"/>
      <c r="O9" s="620"/>
      <c r="P9" s="621"/>
      <c r="Q9" s="664"/>
      <c r="R9" s="662"/>
      <c r="S9" s="631"/>
      <c r="T9" s="656"/>
      <c r="U9" s="664"/>
      <c r="V9" s="660"/>
      <c r="W9" s="629"/>
      <c r="X9" s="625"/>
      <c r="Y9" s="664"/>
      <c r="Z9" s="658"/>
      <c r="AA9" s="627"/>
      <c r="AB9" s="623"/>
      <c r="AC9" s="664"/>
      <c r="AD9" s="658"/>
      <c r="AE9" s="627"/>
      <c r="AF9" s="623"/>
      <c r="AG9" s="664"/>
      <c r="AH9" s="658"/>
      <c r="AI9" s="627"/>
      <c r="AJ9" s="623"/>
      <c r="AK9" s="664"/>
      <c r="AL9" s="658"/>
      <c r="AM9" s="627"/>
      <c r="AN9" s="627"/>
      <c r="AO9" s="664"/>
      <c r="AP9" s="658"/>
      <c r="AQ9" s="627"/>
      <c r="AR9" s="623"/>
      <c r="AS9" s="648"/>
      <c r="AT9" s="646"/>
      <c r="AU9" s="642"/>
      <c r="AV9" s="637"/>
      <c r="AW9" s="637"/>
      <c r="AX9" s="637"/>
      <c r="AY9" s="635"/>
      <c r="AZ9" s="635"/>
      <c r="BA9" s="247"/>
    </row>
    <row r="10" spans="1:53" ht="17.25" customHeight="1" x14ac:dyDescent="0.4">
      <c r="A10" s="675" t="s">
        <v>67</v>
      </c>
      <c r="B10" s="676"/>
      <c r="C10" s="676"/>
      <c r="D10" s="677"/>
      <c r="E10" s="663" t="str">
        <f t="shared" si="13"/>
        <v/>
      </c>
      <c r="F10" s="657" t="str">
        <f>IF(T4="","",T4)</f>
        <v/>
      </c>
      <c r="G10" s="626" t="s">
        <v>30</v>
      </c>
      <c r="H10" s="622" t="str">
        <f>IF(R4="","",R4)</f>
        <v/>
      </c>
      <c r="I10" s="663" t="str">
        <f t="shared" si="15"/>
        <v>△</v>
      </c>
      <c r="J10" s="657">
        <f>IF(T6="","",T6)</f>
        <v>1</v>
      </c>
      <c r="K10" s="626" t="s">
        <v>30</v>
      </c>
      <c r="L10" s="622">
        <f>IF(R6="","",R6)</f>
        <v>1</v>
      </c>
      <c r="M10" s="663" t="str">
        <f t="shared" ref="M10:M14" si="17">IF(OR(N10="",P10=""),"",IF(N10&gt;P10,"○",IF(N10&lt;P10,"×",IF(N10=P10,"△"))))</f>
        <v>○</v>
      </c>
      <c r="N10" s="657">
        <f>IF(T8="","",T8)</f>
        <v>2</v>
      </c>
      <c r="O10" s="626" t="s">
        <v>30</v>
      </c>
      <c r="P10" s="622">
        <f>IF(R8="","",R8)</f>
        <v>0</v>
      </c>
      <c r="Q10" s="616"/>
      <c r="R10" s="617"/>
      <c r="S10" s="617"/>
      <c r="T10" s="618"/>
      <c r="U10" s="663" t="str">
        <f>IF(OR(V10="",X10=""),"",IF(V10&gt;X10,"○",IF(V10&lt;X10,"×",IF(V10=X10,"△"))))</f>
        <v>○</v>
      </c>
      <c r="V10" s="661">
        <f>Ａブロック対戦表!Q23</f>
        <v>1</v>
      </c>
      <c r="W10" s="630" t="s">
        <v>64</v>
      </c>
      <c r="X10" s="655">
        <f>Ａブロック対戦表!V23</f>
        <v>0</v>
      </c>
      <c r="Y10" s="663" t="str">
        <f>IF(OR(Z10="",AB10=""),"",IF(Z10&gt;AB10,"○",IF(Z10&lt;AB10,"×",IF(Z10=AB10,"△"))))</f>
        <v>×</v>
      </c>
      <c r="Z10" s="659">
        <f>'Ａ＋Ｂブロック対戦表'!Q48</f>
        <v>0</v>
      </c>
      <c r="AA10" s="628" t="s">
        <v>30</v>
      </c>
      <c r="AB10" s="624">
        <f>'Ａ＋Ｂブロック対戦表'!V48</f>
        <v>2</v>
      </c>
      <c r="AC10" s="663" t="str">
        <f t="shared" ref="AC10:AC14" si="18">IF(OR(AD10="",AF10=""),"",IF(AD10&gt;AF10,"○",IF(AD10&lt;AF10,"×",IF(AD10=AF10,"△"))))</f>
        <v/>
      </c>
      <c r="AD10" s="657" t="str">
        <f>Ａブロック対戦表!Q79</f>
        <v/>
      </c>
      <c r="AE10" s="626" t="s">
        <v>30</v>
      </c>
      <c r="AF10" s="622" t="str">
        <f>Ａブロック対戦表!V79</f>
        <v/>
      </c>
      <c r="AG10" s="663" t="str">
        <f t="shared" ref="AG10:AG14" si="19">IF(OR(AH10="",AJ10=""),"",IF(AH10&gt;AJ10,"○",IF(AH10&lt;AJ10,"×",IF(AH10=AJ10,"△"))))</f>
        <v/>
      </c>
      <c r="AH10" s="657" t="str">
        <f>Ａブロック対戦表!Q108</f>
        <v/>
      </c>
      <c r="AI10" s="626" t="s">
        <v>30</v>
      </c>
      <c r="AJ10" s="622" t="str">
        <f>Ａブロック対戦表!V108</f>
        <v/>
      </c>
      <c r="AK10" s="663" t="str">
        <f t="shared" ref="AK10:AK14" si="20">IF(OR(AL10="",AN10=""),"",IF(AL10&gt;AN10,"○",IF(AL10&lt;AN10,"×",IF(AL10=AN10,"△"))))</f>
        <v/>
      </c>
      <c r="AL10" s="657" t="str">
        <f>Ａブロック対戦表!Q141</f>
        <v/>
      </c>
      <c r="AM10" s="626" t="s">
        <v>30</v>
      </c>
      <c r="AN10" s="626" t="str">
        <f>Ａブロック対戦表!V141</f>
        <v/>
      </c>
      <c r="AO10" s="663" t="str">
        <f t="shared" ref="AO10:AO14" si="21">IF(OR(AP10="",AR10=""),"",IF(AP10&gt;AR10,"○",IF(AP10&lt;AR10,"×",IF(AP10=AR10,"△"))))</f>
        <v/>
      </c>
      <c r="AP10" s="657" t="str">
        <f>Ａブロック対戦表!V116</f>
        <v/>
      </c>
      <c r="AQ10" s="626" t="s">
        <v>30</v>
      </c>
      <c r="AR10" s="622" t="str">
        <f>Ａブロック対戦表!Q116</f>
        <v/>
      </c>
      <c r="AS10" s="647">
        <f t="shared" ref="AS10:AS14" si="22">COUNTIF(E10:AR11,"○")+COUNTIF(E10:AR11,"×")+COUNTIF(E10:AR11,"△")</f>
        <v>4</v>
      </c>
      <c r="AT10" s="645">
        <f t="shared" ref="AT10:AT14" si="23">COUNTIF(E10:AR11,"○")*3+COUNTIF(E10:AR11,"△")</f>
        <v>7</v>
      </c>
      <c r="AU10" s="639">
        <f t="shared" ref="AU10:AU14" si="24">IF(AS10=0,0,AT10/(AS10*3))</f>
        <v>0.58333333333333337</v>
      </c>
      <c r="AV10" s="634">
        <f t="shared" ref="AV10" si="25">AW10-SUM(H10,L10,P10,T10,X10,AB10,AF10,AJ10,AN10,AR10)</f>
        <v>1</v>
      </c>
      <c r="AW10" s="634">
        <f t="shared" ref="AW10:AW14" si="26">SUM(F10,J10,N10,R10,V10,Z10,AD10,AH10,AL10,AP10)</f>
        <v>4</v>
      </c>
      <c r="AX10" s="634">
        <f t="shared" ref="AX10:AX14" si="27">AU10+AV10*0.001+AW10*0.00001</f>
        <v>0.58437333333333341</v>
      </c>
      <c r="AY10" s="636">
        <f>RANK(AX10,$AX$4:$AX$23)</f>
        <v>5</v>
      </c>
      <c r="AZ10" s="634">
        <f>RANK(AX10,$AX$4:$AX$87)</f>
        <v>13</v>
      </c>
      <c r="BA10" s="247"/>
    </row>
    <row r="11" spans="1:53" ht="17.25" customHeight="1" x14ac:dyDescent="0.4">
      <c r="A11" s="678" t="str">
        <f t="shared" ref="A11:A15" ca="1" si="28">INDIRECT("U12組合せ!d"&amp;(ROW()-1)/2+12)</f>
        <v>ＦＣアリーバ</v>
      </c>
      <c r="B11" s="679"/>
      <c r="C11" s="679"/>
      <c r="D11" s="680"/>
      <c r="E11" s="664"/>
      <c r="F11" s="658"/>
      <c r="G11" s="627"/>
      <c r="H11" s="623"/>
      <c r="I11" s="664"/>
      <c r="J11" s="658"/>
      <c r="K11" s="627"/>
      <c r="L11" s="623"/>
      <c r="M11" s="664"/>
      <c r="N11" s="658"/>
      <c r="O11" s="627"/>
      <c r="P11" s="623"/>
      <c r="Q11" s="619"/>
      <c r="R11" s="620"/>
      <c r="S11" s="620"/>
      <c r="T11" s="621"/>
      <c r="U11" s="664"/>
      <c r="V11" s="662"/>
      <c r="W11" s="631"/>
      <c r="X11" s="656"/>
      <c r="Y11" s="664"/>
      <c r="Z11" s="660"/>
      <c r="AA11" s="629"/>
      <c r="AB11" s="625"/>
      <c r="AC11" s="664"/>
      <c r="AD11" s="658"/>
      <c r="AE11" s="627"/>
      <c r="AF11" s="623"/>
      <c r="AG11" s="664"/>
      <c r="AH11" s="658"/>
      <c r="AI11" s="627"/>
      <c r="AJ11" s="623"/>
      <c r="AK11" s="664"/>
      <c r="AL11" s="658"/>
      <c r="AM11" s="627"/>
      <c r="AN11" s="627"/>
      <c r="AO11" s="664"/>
      <c r="AP11" s="658"/>
      <c r="AQ11" s="627"/>
      <c r="AR11" s="623"/>
      <c r="AS11" s="648"/>
      <c r="AT11" s="646"/>
      <c r="AU11" s="640"/>
      <c r="AV11" s="637"/>
      <c r="AW11" s="637"/>
      <c r="AX11" s="637"/>
      <c r="AY11" s="635"/>
      <c r="AZ11" s="635"/>
      <c r="BA11" s="247"/>
    </row>
    <row r="12" spans="1:53" ht="17.25" customHeight="1" x14ac:dyDescent="0.4">
      <c r="A12" s="675" t="s">
        <v>68</v>
      </c>
      <c r="B12" s="676"/>
      <c r="C12" s="676"/>
      <c r="D12" s="677"/>
      <c r="E12" s="663" t="str">
        <f t="shared" ref="E12:E16" si="29">IF(OR(F12="",H12=""),"",IF(F12&gt;H12,"○",IF(F12&lt;H12,"×",IF(F12=H12,"△"))))</f>
        <v/>
      </c>
      <c r="F12" s="657" t="str">
        <f>IF(X4="","",X4)</f>
        <v/>
      </c>
      <c r="G12" s="626" t="s">
        <v>30</v>
      </c>
      <c r="H12" s="622" t="str">
        <f>IF(V4="","",V4)</f>
        <v/>
      </c>
      <c r="I12" s="663" t="str">
        <f t="shared" si="15"/>
        <v/>
      </c>
      <c r="J12" s="657" t="str">
        <f>IF(X6="","",X6)</f>
        <v/>
      </c>
      <c r="K12" s="626" t="s">
        <v>30</v>
      </c>
      <c r="L12" s="622" t="str">
        <f>IF(V6="","",V6)</f>
        <v/>
      </c>
      <c r="M12" s="663" t="str">
        <f t="shared" si="17"/>
        <v>△</v>
      </c>
      <c r="N12" s="657">
        <f>IF(X8="","",X8)</f>
        <v>2</v>
      </c>
      <c r="O12" s="626" t="s">
        <v>30</v>
      </c>
      <c r="P12" s="622">
        <f>IF(V8="","",V8)</f>
        <v>2</v>
      </c>
      <c r="Q12" s="663" t="str">
        <f t="shared" ref="Q12:Q16" si="30">IF(OR(R12="",T12=""),"",IF(R12&gt;T12,"○",IF(R12&lt;T12,"×",IF(R12=T12,"△"))))</f>
        <v>×</v>
      </c>
      <c r="R12" s="657">
        <f>IF(X10="","",X10)</f>
        <v>0</v>
      </c>
      <c r="S12" s="626" t="s">
        <v>30</v>
      </c>
      <c r="T12" s="622">
        <f>IF(V10="","",V10)</f>
        <v>1</v>
      </c>
      <c r="U12" s="616"/>
      <c r="V12" s="617"/>
      <c r="W12" s="617"/>
      <c r="X12" s="618"/>
      <c r="Y12" s="663" t="str">
        <f>IF(OR(Z12="",AB12=""),"",IF(Z12&gt;AB12,"○",IF(Z12&lt;AB12,"×",IF(Z12=AB12,"△"))))</f>
        <v>○</v>
      </c>
      <c r="Z12" s="661">
        <f>Ａブロック対戦表!Q15</f>
        <v>2</v>
      </c>
      <c r="AA12" s="630" t="s">
        <v>64</v>
      </c>
      <c r="AB12" s="655">
        <f>Ａブロック対戦表!V15</f>
        <v>0</v>
      </c>
      <c r="AC12" s="663" t="str">
        <f t="shared" si="18"/>
        <v>○</v>
      </c>
      <c r="AD12" s="659">
        <f>'Ａ＋Ｂブロック対戦表'!Q44</f>
        <v>3</v>
      </c>
      <c r="AE12" s="628" t="s">
        <v>30</v>
      </c>
      <c r="AF12" s="624">
        <f>'Ａ＋Ｂブロック対戦表'!V44</f>
        <v>0</v>
      </c>
      <c r="AG12" s="663" t="str">
        <f t="shared" si="19"/>
        <v/>
      </c>
      <c r="AH12" s="657" t="str">
        <f>'Ａ＋Ｂブロック対戦表'!Q83</f>
        <v/>
      </c>
      <c r="AI12" s="626" t="s">
        <v>30</v>
      </c>
      <c r="AJ12" s="622" t="str">
        <f>'Ａ＋Ｂブロック対戦表'!V83</f>
        <v/>
      </c>
      <c r="AK12" s="663" t="str">
        <f t="shared" si="20"/>
        <v/>
      </c>
      <c r="AL12" s="657" t="str">
        <f>'Ａ＋Ｂブロック対戦表'!Q110</f>
        <v/>
      </c>
      <c r="AM12" s="626" t="s">
        <v>30</v>
      </c>
      <c r="AN12" s="626" t="str">
        <f>'Ａ＋Ｂブロック対戦表'!V110</f>
        <v/>
      </c>
      <c r="AO12" s="663" t="str">
        <f t="shared" si="21"/>
        <v/>
      </c>
      <c r="AP12" s="657" t="str">
        <f>Ａブロック対戦表!Q143</f>
        <v/>
      </c>
      <c r="AQ12" s="626" t="s">
        <v>30</v>
      </c>
      <c r="AR12" s="622" t="str">
        <f>Ａブロック対戦表!V143</f>
        <v/>
      </c>
      <c r="AS12" s="647">
        <f t="shared" si="22"/>
        <v>4</v>
      </c>
      <c r="AT12" s="645">
        <f t="shared" si="23"/>
        <v>7</v>
      </c>
      <c r="AU12" s="641">
        <f t="shared" si="24"/>
        <v>0.58333333333333337</v>
      </c>
      <c r="AV12" s="634">
        <f t="shared" ref="AV12" si="31">AW12-SUM(H12,L12,P12,T12,X12,AB12,AF12,AJ12,AN12,AR12)</f>
        <v>4</v>
      </c>
      <c r="AW12" s="634">
        <f t="shared" si="26"/>
        <v>7</v>
      </c>
      <c r="AX12" s="634">
        <f t="shared" si="27"/>
        <v>0.58740333333333339</v>
      </c>
      <c r="AY12" s="636">
        <f>RANK(AX12,$AX$4:$AX$23)</f>
        <v>3</v>
      </c>
      <c r="AZ12" s="634">
        <f>RANK(AX12,$AX$4:$AX$87)</f>
        <v>11</v>
      </c>
      <c r="BA12" s="247"/>
    </row>
    <row r="13" spans="1:53" ht="17.25" customHeight="1" x14ac:dyDescent="0.4">
      <c r="A13" s="678" t="str">
        <f t="shared" ca="1" si="28"/>
        <v>ｕｎｉｏｎｓｃU12</v>
      </c>
      <c r="B13" s="679"/>
      <c r="C13" s="679"/>
      <c r="D13" s="680"/>
      <c r="E13" s="664"/>
      <c r="F13" s="658"/>
      <c r="G13" s="627"/>
      <c r="H13" s="623"/>
      <c r="I13" s="664"/>
      <c r="J13" s="658"/>
      <c r="K13" s="627"/>
      <c r="L13" s="623"/>
      <c r="M13" s="664"/>
      <c r="N13" s="658"/>
      <c r="O13" s="627"/>
      <c r="P13" s="623"/>
      <c r="Q13" s="664"/>
      <c r="R13" s="658"/>
      <c r="S13" s="627"/>
      <c r="T13" s="623"/>
      <c r="U13" s="619"/>
      <c r="V13" s="620"/>
      <c r="W13" s="620"/>
      <c r="X13" s="621"/>
      <c r="Y13" s="664"/>
      <c r="Z13" s="662"/>
      <c r="AA13" s="631"/>
      <c r="AB13" s="656"/>
      <c r="AC13" s="664"/>
      <c r="AD13" s="660"/>
      <c r="AE13" s="629"/>
      <c r="AF13" s="625"/>
      <c r="AG13" s="664"/>
      <c r="AH13" s="658"/>
      <c r="AI13" s="627"/>
      <c r="AJ13" s="623"/>
      <c r="AK13" s="664"/>
      <c r="AL13" s="658"/>
      <c r="AM13" s="627"/>
      <c r="AN13" s="627"/>
      <c r="AO13" s="664"/>
      <c r="AP13" s="658"/>
      <c r="AQ13" s="627"/>
      <c r="AR13" s="623"/>
      <c r="AS13" s="648"/>
      <c r="AT13" s="646"/>
      <c r="AU13" s="642"/>
      <c r="AV13" s="637"/>
      <c r="AW13" s="637"/>
      <c r="AX13" s="637"/>
      <c r="AY13" s="635"/>
      <c r="AZ13" s="635"/>
      <c r="BA13" s="247"/>
    </row>
    <row r="14" spans="1:53" ht="17.25" customHeight="1" x14ac:dyDescent="0.4">
      <c r="A14" s="675" t="s">
        <v>69</v>
      </c>
      <c r="B14" s="676"/>
      <c r="C14" s="676"/>
      <c r="D14" s="677"/>
      <c r="E14" s="663" t="str">
        <f t="shared" si="29"/>
        <v/>
      </c>
      <c r="F14" s="657" t="str">
        <f>IF(AB4="","",AB4)</f>
        <v/>
      </c>
      <c r="G14" s="626" t="s">
        <v>30</v>
      </c>
      <c r="H14" s="622" t="str">
        <f>IF(Z4="","",Z4)</f>
        <v/>
      </c>
      <c r="I14" s="663" t="str">
        <f t="shared" ref="I14:I18" si="32">IF(OR(J14="",L14=""),"",IF(J14&gt;L14,"○",IF(J14&lt;L14,"×",IF(J14=L14,"△"))))</f>
        <v/>
      </c>
      <c r="J14" s="657" t="str">
        <f>IF(AB6="","",AB6)</f>
        <v/>
      </c>
      <c r="K14" s="626" t="s">
        <v>30</v>
      </c>
      <c r="L14" s="622" t="str">
        <f>IF(Z6="","",Z6)</f>
        <v/>
      </c>
      <c r="M14" s="663" t="str">
        <f t="shared" si="17"/>
        <v/>
      </c>
      <c r="N14" s="657" t="str">
        <f>IF(AB8="","",AB8)</f>
        <v/>
      </c>
      <c r="O14" s="626" t="s">
        <v>30</v>
      </c>
      <c r="P14" s="622" t="str">
        <f>IF(Z8="","",Z8)</f>
        <v/>
      </c>
      <c r="Q14" s="663" t="str">
        <f t="shared" si="30"/>
        <v>○</v>
      </c>
      <c r="R14" s="657">
        <f>IF(AB10="","",AB10)</f>
        <v>2</v>
      </c>
      <c r="S14" s="626" t="s">
        <v>30</v>
      </c>
      <c r="T14" s="622">
        <f>IF(Z10="","",Z10)</f>
        <v>0</v>
      </c>
      <c r="U14" s="663" t="str">
        <f t="shared" ref="U14:U18" si="33">IF(OR(V14="",X14=""),"",IF(V14&gt;X14,"○",IF(V14&lt;X14,"×",IF(V14=X14,"△"))))</f>
        <v>×</v>
      </c>
      <c r="V14" s="657">
        <f>IF(AB12="","",AB12)</f>
        <v>0</v>
      </c>
      <c r="W14" s="626" t="s">
        <v>30</v>
      </c>
      <c r="X14" s="622">
        <f>IF(Z12="","",Z12)</f>
        <v>2</v>
      </c>
      <c r="Y14" s="616"/>
      <c r="Z14" s="617"/>
      <c r="AA14" s="617"/>
      <c r="AB14" s="618"/>
      <c r="AC14" s="663" t="str">
        <f t="shared" si="18"/>
        <v>○</v>
      </c>
      <c r="AD14" s="661">
        <f>'Ａ＋Ｂブロック対戦表'!Q21</f>
        <v>6</v>
      </c>
      <c r="AE14" s="630" t="s">
        <v>64</v>
      </c>
      <c r="AF14" s="655">
        <f>'Ａ＋Ｂブロック対戦表'!V21</f>
        <v>0</v>
      </c>
      <c r="AG14" s="663" t="str">
        <f t="shared" si="19"/>
        <v>△</v>
      </c>
      <c r="AH14" s="659">
        <f>Ａブロック対戦表!Q54</f>
        <v>3</v>
      </c>
      <c r="AI14" s="628" t="s">
        <v>30</v>
      </c>
      <c r="AJ14" s="624">
        <f>Ａブロック対戦表!V54</f>
        <v>3</v>
      </c>
      <c r="AK14" s="663" t="str">
        <f t="shared" si="20"/>
        <v/>
      </c>
      <c r="AL14" s="657" t="str">
        <f>'Ａ＋Ｂブロック対戦表'!Q75</f>
        <v/>
      </c>
      <c r="AM14" s="626" t="s">
        <v>30</v>
      </c>
      <c r="AN14" s="626" t="str">
        <f>'Ａ＋Ｂブロック対戦表'!V75</f>
        <v/>
      </c>
      <c r="AO14" s="663" t="str">
        <f t="shared" si="21"/>
        <v/>
      </c>
      <c r="AP14" s="657" t="str">
        <f>Ａブロック対戦表!Q110</f>
        <v/>
      </c>
      <c r="AQ14" s="626" t="s">
        <v>30</v>
      </c>
      <c r="AR14" s="622" t="str">
        <f>Ａブロック対戦表!V110</f>
        <v/>
      </c>
      <c r="AS14" s="647">
        <f t="shared" si="22"/>
        <v>4</v>
      </c>
      <c r="AT14" s="645">
        <f t="shared" si="23"/>
        <v>7</v>
      </c>
      <c r="AU14" s="641">
        <f t="shared" si="24"/>
        <v>0.58333333333333337</v>
      </c>
      <c r="AV14" s="634">
        <f t="shared" ref="AV14" si="34">AW14-SUM(H14,L14,P14,T14,X14,AB14,AF14,AJ14,AN14,AR14)</f>
        <v>6</v>
      </c>
      <c r="AW14" s="634">
        <f t="shared" si="26"/>
        <v>11</v>
      </c>
      <c r="AX14" s="634">
        <f t="shared" si="27"/>
        <v>0.58944333333333343</v>
      </c>
      <c r="AY14" s="636">
        <f>RANK(AX14,$AX$4:$AX$23)</f>
        <v>2</v>
      </c>
      <c r="AZ14" s="634">
        <f>RANK(AX14,$AX$4:$AX$87)</f>
        <v>10</v>
      </c>
      <c r="BA14" s="247"/>
    </row>
    <row r="15" spans="1:53" ht="17.25" customHeight="1" x14ac:dyDescent="0.4">
      <c r="A15" s="678" t="str">
        <f t="shared" ca="1" si="28"/>
        <v>宝木キッカーズ</v>
      </c>
      <c r="B15" s="679"/>
      <c r="C15" s="679"/>
      <c r="D15" s="680"/>
      <c r="E15" s="664"/>
      <c r="F15" s="658"/>
      <c r="G15" s="627"/>
      <c r="H15" s="623"/>
      <c r="I15" s="664"/>
      <c r="J15" s="658"/>
      <c r="K15" s="627"/>
      <c r="L15" s="623"/>
      <c r="M15" s="664"/>
      <c r="N15" s="658"/>
      <c r="O15" s="627"/>
      <c r="P15" s="623"/>
      <c r="Q15" s="664"/>
      <c r="R15" s="658"/>
      <c r="S15" s="627"/>
      <c r="T15" s="623"/>
      <c r="U15" s="664"/>
      <c r="V15" s="658"/>
      <c r="W15" s="627"/>
      <c r="X15" s="623"/>
      <c r="Y15" s="619"/>
      <c r="Z15" s="620"/>
      <c r="AA15" s="620"/>
      <c r="AB15" s="621"/>
      <c r="AC15" s="664"/>
      <c r="AD15" s="662"/>
      <c r="AE15" s="631"/>
      <c r="AF15" s="656"/>
      <c r="AG15" s="664"/>
      <c r="AH15" s="660"/>
      <c r="AI15" s="629"/>
      <c r="AJ15" s="625"/>
      <c r="AK15" s="664"/>
      <c r="AL15" s="658"/>
      <c r="AM15" s="627"/>
      <c r="AN15" s="627"/>
      <c r="AO15" s="664"/>
      <c r="AP15" s="658"/>
      <c r="AQ15" s="627"/>
      <c r="AR15" s="623"/>
      <c r="AS15" s="648"/>
      <c r="AT15" s="646"/>
      <c r="AU15" s="642"/>
      <c r="AV15" s="637"/>
      <c r="AW15" s="637"/>
      <c r="AX15" s="637"/>
      <c r="AY15" s="635"/>
      <c r="AZ15" s="635"/>
      <c r="BA15" s="247"/>
    </row>
    <row r="16" spans="1:53" ht="17.25" customHeight="1" x14ac:dyDescent="0.4">
      <c r="A16" s="675" t="s">
        <v>70</v>
      </c>
      <c r="B16" s="676"/>
      <c r="C16" s="676"/>
      <c r="D16" s="677"/>
      <c r="E16" s="663" t="str">
        <f t="shared" si="29"/>
        <v/>
      </c>
      <c r="F16" s="657" t="str">
        <f>IF(AF4="","",AF4)</f>
        <v/>
      </c>
      <c r="G16" s="626" t="s">
        <v>30</v>
      </c>
      <c r="H16" s="622" t="str">
        <f>IF(AD4="","",AD4)</f>
        <v/>
      </c>
      <c r="I16" s="663" t="str">
        <f t="shared" si="32"/>
        <v/>
      </c>
      <c r="J16" s="657" t="str">
        <f>IF(AF6="","",AF6)</f>
        <v/>
      </c>
      <c r="K16" s="626" t="s">
        <v>30</v>
      </c>
      <c r="L16" s="622" t="str">
        <f>IF(AD6="","",AD6)</f>
        <v/>
      </c>
      <c r="M16" s="663" t="str">
        <f t="shared" ref="M16:M20" si="35">IF(OR(N16="",P16=""),"",IF(N16&gt;P16,"○",IF(N16&lt;P16,"×",IF(N16=P16,"△"))))</f>
        <v/>
      </c>
      <c r="N16" s="657" t="str">
        <f>IF(AF8="","",AF8)</f>
        <v/>
      </c>
      <c r="O16" s="626" t="s">
        <v>30</v>
      </c>
      <c r="P16" s="622" t="str">
        <f>IF(AD8="","",AD8)</f>
        <v/>
      </c>
      <c r="Q16" s="663" t="str">
        <f t="shared" si="30"/>
        <v/>
      </c>
      <c r="R16" s="657" t="str">
        <f>IF(AF10="","",AF10)</f>
        <v/>
      </c>
      <c r="S16" s="626" t="s">
        <v>30</v>
      </c>
      <c r="T16" s="622" t="str">
        <f>IF(AD10="","",AD10)</f>
        <v/>
      </c>
      <c r="U16" s="663" t="str">
        <f t="shared" si="33"/>
        <v>×</v>
      </c>
      <c r="V16" s="657">
        <f>IF(AF12="","",AF12)</f>
        <v>0</v>
      </c>
      <c r="W16" s="626" t="s">
        <v>30</v>
      </c>
      <c r="X16" s="622">
        <f>IF(AD12="","",AD12)</f>
        <v>3</v>
      </c>
      <c r="Y16" s="663" t="str">
        <f t="shared" ref="Y16:Y20" si="36">IF(OR(Z16="",AB16=""),"",IF(Z16&gt;AB16,"○",IF(Z16&lt;AB16,"×",IF(Z16=AB16,"△"))))</f>
        <v>×</v>
      </c>
      <c r="Z16" s="657">
        <f>IF(AF14="","",AF14)</f>
        <v>0</v>
      </c>
      <c r="AA16" s="626" t="s">
        <v>30</v>
      </c>
      <c r="AB16" s="622">
        <f>IF(AD14="","",AD14)</f>
        <v>6</v>
      </c>
      <c r="AC16" s="616"/>
      <c r="AD16" s="617"/>
      <c r="AE16" s="617"/>
      <c r="AF16" s="618"/>
      <c r="AG16" s="663" t="str">
        <f>IF(OR(AH16="",AJ16=""),"",IF(AH16&gt;AJ16,"○",IF(AH16&lt;AJ16,"×",IF(AH16=AJ16,"△"))))</f>
        <v>○</v>
      </c>
      <c r="AH16" s="661">
        <f>Ａブロック対戦表!Q17</f>
        <v>1</v>
      </c>
      <c r="AI16" s="630" t="s">
        <v>64</v>
      </c>
      <c r="AJ16" s="630">
        <f>Ａブロック対戦表!V17</f>
        <v>0</v>
      </c>
      <c r="AK16" s="663" t="str">
        <f>IF(OR(AL16="",AN16=""),"",IF(AL16&gt;AN16,"○",IF(AL16&lt;AN16,"×",IF(AL16=AN16,"△"))))</f>
        <v>×</v>
      </c>
      <c r="AL16" s="659">
        <f>Ａブロック対戦表!Q50</f>
        <v>0</v>
      </c>
      <c r="AM16" s="628" t="s">
        <v>30</v>
      </c>
      <c r="AN16" s="628">
        <f>Ａブロック対戦表!V50</f>
        <v>3</v>
      </c>
      <c r="AO16" s="663" t="str">
        <f t="shared" ref="AO16:AO20" si="37">IF(OR(AP16="",AR16=""),"",IF(AP16&gt;AR16,"○",IF(AP16&lt;AR16,"×",IF(AP16=AR16,"△"))))</f>
        <v/>
      </c>
      <c r="AP16" s="657" t="str">
        <f>Ａブロック対戦表!Q83</f>
        <v/>
      </c>
      <c r="AQ16" s="626" t="s">
        <v>30</v>
      </c>
      <c r="AR16" s="651" t="str">
        <f>Ａブロック対戦表!V83</f>
        <v/>
      </c>
      <c r="AS16" s="647">
        <f t="shared" ref="AS16:AS20" si="38">COUNTIF(E16:AR17,"○")+COUNTIF(E16:AR17,"×")+COUNTIF(E16:AR17,"△")</f>
        <v>4</v>
      </c>
      <c r="AT16" s="645">
        <f t="shared" ref="AT16:AT20" si="39">COUNTIF(E16:AR17,"○")*3+COUNTIF(E16:AR17,"△")</f>
        <v>3</v>
      </c>
      <c r="AU16" s="641">
        <f t="shared" ref="AU16:AU20" si="40">IF(AS16=0,0,AT16/(AS16*3))</f>
        <v>0.25</v>
      </c>
      <c r="AV16" s="634">
        <f t="shared" ref="AV16" si="41">AW16-SUM(H16,L16,P16,T16,X16,AB16,AF16,AJ16,AN16,AR16)</f>
        <v>-11</v>
      </c>
      <c r="AW16" s="634">
        <f t="shared" ref="AW16:AW20" si="42">SUM(F16,J16,N16,R16,V16,Z16,AD16,AH16,AL16,AP16)</f>
        <v>1</v>
      </c>
      <c r="AX16" s="634">
        <f t="shared" ref="AX16:AX20" si="43">AU16+AV16*0.001+AW16*0.00001</f>
        <v>0.23901</v>
      </c>
      <c r="AY16" s="636">
        <f>RANK(AX16,$AX$4:$AX$23)</f>
        <v>8</v>
      </c>
      <c r="AZ16" s="634">
        <f>RANK(AX16,$AX$4:$AX$87)</f>
        <v>29</v>
      </c>
      <c r="BA16" s="247"/>
    </row>
    <row r="17" spans="1:53" ht="17.25" customHeight="1" x14ac:dyDescent="0.4">
      <c r="A17" s="678" t="str">
        <f t="shared" ref="A17:A21" ca="1" si="44">INDIRECT("U12組合せ!d"&amp;(ROW()-1)/2+12)</f>
        <v>サウス宇都宮ＳＣ</v>
      </c>
      <c r="B17" s="679"/>
      <c r="C17" s="679"/>
      <c r="D17" s="680"/>
      <c r="E17" s="664"/>
      <c r="F17" s="658"/>
      <c r="G17" s="627"/>
      <c r="H17" s="623"/>
      <c r="I17" s="664"/>
      <c r="J17" s="658"/>
      <c r="K17" s="627"/>
      <c r="L17" s="623"/>
      <c r="M17" s="664"/>
      <c r="N17" s="658"/>
      <c r="O17" s="627"/>
      <c r="P17" s="623"/>
      <c r="Q17" s="664"/>
      <c r="R17" s="658"/>
      <c r="S17" s="627"/>
      <c r="T17" s="623"/>
      <c r="U17" s="664"/>
      <c r="V17" s="658"/>
      <c r="W17" s="627"/>
      <c r="X17" s="623"/>
      <c r="Y17" s="664"/>
      <c r="Z17" s="658"/>
      <c r="AA17" s="627"/>
      <c r="AB17" s="623"/>
      <c r="AC17" s="619"/>
      <c r="AD17" s="620"/>
      <c r="AE17" s="620"/>
      <c r="AF17" s="621"/>
      <c r="AG17" s="664"/>
      <c r="AH17" s="662"/>
      <c r="AI17" s="631"/>
      <c r="AJ17" s="631"/>
      <c r="AK17" s="664"/>
      <c r="AL17" s="660"/>
      <c r="AM17" s="629"/>
      <c r="AN17" s="629"/>
      <c r="AO17" s="664"/>
      <c r="AP17" s="658"/>
      <c r="AQ17" s="627"/>
      <c r="AR17" s="652"/>
      <c r="AS17" s="648"/>
      <c r="AT17" s="646"/>
      <c r="AU17" s="642"/>
      <c r="AV17" s="637"/>
      <c r="AW17" s="637"/>
      <c r="AX17" s="637"/>
      <c r="AY17" s="635"/>
      <c r="AZ17" s="635"/>
      <c r="BA17" s="247"/>
    </row>
    <row r="18" spans="1:53" ht="17.25" customHeight="1" x14ac:dyDescent="0.4">
      <c r="A18" s="675" t="s">
        <v>71</v>
      </c>
      <c r="B18" s="676"/>
      <c r="C18" s="676"/>
      <c r="D18" s="677"/>
      <c r="E18" s="663" t="str">
        <f>IF(OR(F18="",H18=""),"",IF(F18&gt;H18,"○",IF(F18&lt;H18,"×",IF(F18=H18,"△"))))</f>
        <v/>
      </c>
      <c r="F18" s="657" t="str">
        <f>IF(AJ4="","",AJ4)</f>
        <v/>
      </c>
      <c r="G18" s="626" t="s">
        <v>30</v>
      </c>
      <c r="H18" s="622" t="str">
        <f>IF(AH4="","",AH4)</f>
        <v/>
      </c>
      <c r="I18" s="663" t="str">
        <f t="shared" si="32"/>
        <v/>
      </c>
      <c r="J18" s="657" t="str">
        <f>IF(AJ6="","",AJ6)</f>
        <v/>
      </c>
      <c r="K18" s="626" t="s">
        <v>30</v>
      </c>
      <c r="L18" s="622" t="str">
        <f>IF(AH6="","",AH6)</f>
        <v/>
      </c>
      <c r="M18" s="663" t="str">
        <f t="shared" si="35"/>
        <v/>
      </c>
      <c r="N18" s="657" t="str">
        <f>IF(AJ8="","",AJ8)</f>
        <v/>
      </c>
      <c r="O18" s="626" t="s">
        <v>30</v>
      </c>
      <c r="P18" s="622" t="str">
        <f>IF(AH8="","",AH8)</f>
        <v/>
      </c>
      <c r="Q18" s="663" t="str">
        <f t="shared" ref="Q18:Q22" si="45">IF(OR(R18="",T18=""),"",IF(R18&gt;T18,"○",IF(R18&lt;T18,"×",IF(R18=T18,"△"))))</f>
        <v/>
      </c>
      <c r="R18" s="657" t="str">
        <f>IF(AJ10="","",AJ10)</f>
        <v/>
      </c>
      <c r="S18" s="626" t="s">
        <v>30</v>
      </c>
      <c r="T18" s="622" t="str">
        <f>IF(AH10="","",AH10)</f>
        <v/>
      </c>
      <c r="U18" s="663" t="str">
        <f t="shared" si="33"/>
        <v/>
      </c>
      <c r="V18" s="657" t="str">
        <f>IF(AJ12="","",AJ12)</f>
        <v/>
      </c>
      <c r="W18" s="626" t="s">
        <v>30</v>
      </c>
      <c r="X18" s="622" t="str">
        <f>IF(AH12="","",AH12)</f>
        <v/>
      </c>
      <c r="Y18" s="663" t="str">
        <f t="shared" si="36"/>
        <v>△</v>
      </c>
      <c r="Z18" s="657">
        <f>IF(AJ14="","",AJ14)</f>
        <v>3</v>
      </c>
      <c r="AA18" s="626" t="s">
        <v>30</v>
      </c>
      <c r="AB18" s="622">
        <f>IF(AH14="","",AH14)</f>
        <v>3</v>
      </c>
      <c r="AC18" s="663" t="str">
        <f t="shared" ref="AC18:AC22" si="46">IF(OR(AD18="",AF18=""),"",IF(AD18&gt;AF18,"○",IF(AD18&lt;AF18,"×",IF(AD18=AF18,"△"))))</f>
        <v>×</v>
      </c>
      <c r="AD18" s="657">
        <f>IF(AJ16="","",AJ16)</f>
        <v>0</v>
      </c>
      <c r="AE18" s="626" t="s">
        <v>30</v>
      </c>
      <c r="AF18" s="622">
        <f>IF(AH16="","",AH16)</f>
        <v>1</v>
      </c>
      <c r="AG18" s="616"/>
      <c r="AH18" s="617"/>
      <c r="AI18" s="617"/>
      <c r="AJ18" s="618"/>
      <c r="AK18" s="663" t="str">
        <f>IF(OR(AL18="",AN18=""),"",IF(AL18&gt;AN18,"○",IF(AL18&lt;AN18,"×",IF(AL18=AN18,"△"))))</f>
        <v>△</v>
      </c>
      <c r="AL18" s="661">
        <f>Ａブロック対戦表!Q25</f>
        <v>0</v>
      </c>
      <c r="AM18" s="630" t="s">
        <v>64</v>
      </c>
      <c r="AN18" s="630">
        <f>Ａブロック対戦表!V25</f>
        <v>0</v>
      </c>
      <c r="AO18" s="663" t="str">
        <f t="shared" si="37"/>
        <v>×</v>
      </c>
      <c r="AP18" s="659">
        <f>Ａブロック対戦表!Q46</f>
        <v>0</v>
      </c>
      <c r="AQ18" s="628" t="s">
        <v>30</v>
      </c>
      <c r="AR18" s="628">
        <f>Ａブロック対戦表!V46</f>
        <v>1</v>
      </c>
      <c r="AS18" s="647">
        <f t="shared" si="38"/>
        <v>4</v>
      </c>
      <c r="AT18" s="645">
        <f t="shared" si="39"/>
        <v>2</v>
      </c>
      <c r="AU18" s="641">
        <f t="shared" si="40"/>
        <v>0.16666666666666666</v>
      </c>
      <c r="AV18" s="634">
        <f t="shared" ref="AV18" si="47">AW18-SUM(H18,L18,P18,T18,X18,AB18,AF18,AJ18,AN18,AR18)</f>
        <v>-2</v>
      </c>
      <c r="AW18" s="634">
        <f t="shared" si="42"/>
        <v>3</v>
      </c>
      <c r="AX18" s="634">
        <f t="shared" si="43"/>
        <v>0.16469666666666666</v>
      </c>
      <c r="AY18" s="636">
        <f>RANK(AX18,$AX$4:$AX$23)</f>
        <v>9</v>
      </c>
      <c r="AZ18" s="634">
        <f>RANK(AX18,$AX$4:$AX$87)</f>
        <v>31</v>
      </c>
      <c r="BA18" s="247"/>
    </row>
    <row r="19" spans="1:53" ht="17.25" customHeight="1" x14ac:dyDescent="0.4">
      <c r="A19" s="678" t="str">
        <f t="shared" ca="1" si="44"/>
        <v>ブラッドレスＳＳ</v>
      </c>
      <c r="B19" s="679"/>
      <c r="C19" s="679"/>
      <c r="D19" s="680"/>
      <c r="E19" s="664"/>
      <c r="F19" s="658"/>
      <c r="G19" s="627"/>
      <c r="H19" s="623"/>
      <c r="I19" s="664"/>
      <c r="J19" s="658"/>
      <c r="K19" s="627"/>
      <c r="L19" s="623"/>
      <c r="M19" s="664"/>
      <c r="N19" s="658"/>
      <c r="O19" s="627"/>
      <c r="P19" s="623"/>
      <c r="Q19" s="664"/>
      <c r="R19" s="658"/>
      <c r="S19" s="627"/>
      <c r="T19" s="623"/>
      <c r="U19" s="664"/>
      <c r="V19" s="658"/>
      <c r="W19" s="627"/>
      <c r="X19" s="623"/>
      <c r="Y19" s="664"/>
      <c r="Z19" s="658"/>
      <c r="AA19" s="627"/>
      <c r="AB19" s="623"/>
      <c r="AC19" s="664"/>
      <c r="AD19" s="658"/>
      <c r="AE19" s="627"/>
      <c r="AF19" s="623"/>
      <c r="AG19" s="619"/>
      <c r="AH19" s="620"/>
      <c r="AI19" s="620"/>
      <c r="AJ19" s="621"/>
      <c r="AK19" s="664"/>
      <c r="AL19" s="662"/>
      <c r="AM19" s="631"/>
      <c r="AN19" s="631"/>
      <c r="AO19" s="664"/>
      <c r="AP19" s="660"/>
      <c r="AQ19" s="629"/>
      <c r="AR19" s="629"/>
      <c r="AS19" s="648"/>
      <c r="AT19" s="646"/>
      <c r="AU19" s="642"/>
      <c r="AV19" s="637"/>
      <c r="AW19" s="637"/>
      <c r="AX19" s="637"/>
      <c r="AY19" s="635"/>
      <c r="AZ19" s="635"/>
      <c r="BA19" s="247"/>
    </row>
    <row r="20" spans="1:53" ht="17.25" customHeight="1" x14ac:dyDescent="0.4">
      <c r="A20" s="675" t="s">
        <v>72</v>
      </c>
      <c r="B20" s="676"/>
      <c r="C20" s="676"/>
      <c r="D20" s="677"/>
      <c r="E20" s="663" t="str">
        <f>IF(OR(F20="",H20=""),"",IF(F20&gt;H20,"○",IF(F20&lt;H20,"×",IF(F20=H20,"△"))))</f>
        <v>×</v>
      </c>
      <c r="F20" s="657">
        <f>IF(AN4="","",AN4)</f>
        <v>0</v>
      </c>
      <c r="G20" s="626" t="s">
        <v>30</v>
      </c>
      <c r="H20" s="622">
        <f>IF(AL4="","",AL4)</f>
        <v>1</v>
      </c>
      <c r="I20" s="663" t="str">
        <f>IF(OR(J20="",L20=""),"",IF(J20&gt;L20,"○",IF(J20&lt;L20,"×",IF(J20=L20,"△"))))</f>
        <v/>
      </c>
      <c r="J20" s="657" t="str">
        <f>IF(AN6="","",AN6)</f>
        <v/>
      </c>
      <c r="K20" s="626" t="s">
        <v>30</v>
      </c>
      <c r="L20" s="622" t="str">
        <f>IF(AL6="","",AL6)</f>
        <v/>
      </c>
      <c r="M20" s="663" t="str">
        <f t="shared" si="35"/>
        <v/>
      </c>
      <c r="N20" s="657" t="str">
        <f>IF(AN8="","",AN8)</f>
        <v/>
      </c>
      <c r="O20" s="626" t="s">
        <v>30</v>
      </c>
      <c r="P20" s="622" t="str">
        <f>IF(AL8="","",AL8)</f>
        <v/>
      </c>
      <c r="Q20" s="663" t="str">
        <f t="shared" si="45"/>
        <v/>
      </c>
      <c r="R20" s="657" t="str">
        <f>IF(AN10="","",AN10)</f>
        <v/>
      </c>
      <c r="S20" s="626" t="s">
        <v>30</v>
      </c>
      <c r="T20" s="622" t="str">
        <f>IF(AL10="","",AL10)</f>
        <v/>
      </c>
      <c r="U20" s="663" t="str">
        <f>IF(OR(V20="",X20=""),"",IF(V20&gt;X20,"○",IF(V20&lt;X20,"×",IF(V20=X20,"△"))))</f>
        <v/>
      </c>
      <c r="V20" s="657" t="str">
        <f>IF(AN12="","",AN12)</f>
        <v/>
      </c>
      <c r="W20" s="626" t="s">
        <v>30</v>
      </c>
      <c r="X20" s="622" t="str">
        <f>IF(AL12="","",AL12)</f>
        <v/>
      </c>
      <c r="Y20" s="663" t="str">
        <f t="shared" si="36"/>
        <v/>
      </c>
      <c r="Z20" s="657" t="str">
        <f>IF(AN14="","",AN14)</f>
        <v/>
      </c>
      <c r="AA20" s="626" t="s">
        <v>30</v>
      </c>
      <c r="AB20" s="622" t="str">
        <f>IF(AL14="","",AL14)</f>
        <v/>
      </c>
      <c r="AC20" s="663" t="str">
        <f t="shared" si="46"/>
        <v>○</v>
      </c>
      <c r="AD20" s="657">
        <f>IF(AN16="","",AN16)</f>
        <v>3</v>
      </c>
      <c r="AE20" s="626" t="s">
        <v>30</v>
      </c>
      <c r="AF20" s="622">
        <f>IF(AL16="","",AL16)</f>
        <v>0</v>
      </c>
      <c r="AG20" s="663" t="str">
        <f>IF(OR(AH20="",AJ20=""),"",IF(AH20&gt;AJ20,"○",IF(AH20&lt;AJ20,"×",IF(AH20=AJ20,"△"))))</f>
        <v>△</v>
      </c>
      <c r="AH20" s="657">
        <f>IF(AN18="","",AN18)</f>
        <v>0</v>
      </c>
      <c r="AI20" s="626" t="s">
        <v>30</v>
      </c>
      <c r="AJ20" s="622">
        <f>IF(AL18="","",AL18)</f>
        <v>0</v>
      </c>
      <c r="AK20" s="616"/>
      <c r="AL20" s="617"/>
      <c r="AM20" s="617"/>
      <c r="AN20" s="618"/>
      <c r="AO20" s="663" t="str">
        <f t="shared" si="37"/>
        <v>×</v>
      </c>
      <c r="AP20" s="661">
        <f>'Ａ＋Ｂブロック対戦表'!Q17</f>
        <v>1</v>
      </c>
      <c r="AQ20" s="630" t="s">
        <v>64</v>
      </c>
      <c r="AR20" s="630">
        <f>'Ａ＋Ｂブロック対戦表'!V17</f>
        <v>2</v>
      </c>
      <c r="AS20" s="647">
        <f t="shared" si="38"/>
        <v>4</v>
      </c>
      <c r="AT20" s="645">
        <f t="shared" si="39"/>
        <v>4</v>
      </c>
      <c r="AU20" s="641">
        <f t="shared" si="40"/>
        <v>0.33333333333333331</v>
      </c>
      <c r="AV20" s="634">
        <f t="shared" ref="AV20" si="48">AW20-SUM(H20,L20,P20,T20,X20,AB20,AF20,AJ20,AN20,AR20)</f>
        <v>1</v>
      </c>
      <c r="AW20" s="634">
        <f t="shared" si="42"/>
        <v>4</v>
      </c>
      <c r="AX20" s="634">
        <f t="shared" si="43"/>
        <v>0.3343733333333333</v>
      </c>
      <c r="AY20" s="636">
        <f>RANK(AX20,$AX$4:$AX$23)</f>
        <v>6</v>
      </c>
      <c r="AZ20" s="634">
        <f>RANK(AX20,$AX$4:$AX$87)</f>
        <v>19</v>
      </c>
      <c r="BA20" s="247"/>
    </row>
    <row r="21" spans="1:53" ht="17.25" customHeight="1" x14ac:dyDescent="0.4">
      <c r="A21" s="678" t="str">
        <f t="shared" ca="1" si="44"/>
        <v>泉ＦＣ宇都宮</v>
      </c>
      <c r="B21" s="679"/>
      <c r="C21" s="679"/>
      <c r="D21" s="680"/>
      <c r="E21" s="664"/>
      <c r="F21" s="658"/>
      <c r="G21" s="627"/>
      <c r="H21" s="623"/>
      <c r="I21" s="664"/>
      <c r="J21" s="658"/>
      <c r="K21" s="627"/>
      <c r="L21" s="623"/>
      <c r="M21" s="664"/>
      <c r="N21" s="658"/>
      <c r="O21" s="627"/>
      <c r="P21" s="623"/>
      <c r="Q21" s="664"/>
      <c r="R21" s="658"/>
      <c r="S21" s="627"/>
      <c r="T21" s="623"/>
      <c r="U21" s="664"/>
      <c r="V21" s="658"/>
      <c r="W21" s="627"/>
      <c r="X21" s="623"/>
      <c r="Y21" s="664"/>
      <c r="Z21" s="658"/>
      <c r="AA21" s="627"/>
      <c r="AB21" s="623"/>
      <c r="AC21" s="664"/>
      <c r="AD21" s="658"/>
      <c r="AE21" s="627"/>
      <c r="AF21" s="623"/>
      <c r="AG21" s="664"/>
      <c r="AH21" s="658"/>
      <c r="AI21" s="627"/>
      <c r="AJ21" s="623"/>
      <c r="AK21" s="619"/>
      <c r="AL21" s="620"/>
      <c r="AM21" s="620"/>
      <c r="AN21" s="621"/>
      <c r="AO21" s="664"/>
      <c r="AP21" s="662"/>
      <c r="AQ21" s="631"/>
      <c r="AR21" s="631"/>
      <c r="AS21" s="648"/>
      <c r="AT21" s="646"/>
      <c r="AU21" s="642"/>
      <c r="AV21" s="637"/>
      <c r="AW21" s="637"/>
      <c r="AX21" s="637"/>
      <c r="AY21" s="635"/>
      <c r="AZ21" s="635"/>
      <c r="BA21" s="247"/>
    </row>
    <row r="22" spans="1:53" ht="17.25" customHeight="1" x14ac:dyDescent="0.4">
      <c r="A22" s="675" t="s">
        <v>22</v>
      </c>
      <c r="B22" s="676"/>
      <c r="C22" s="676"/>
      <c r="D22" s="677"/>
      <c r="E22" s="669" t="str">
        <f>IF(OR(F22="",H22=""),"",IF(F22&gt;H22,"○",IF(F22&lt;$H22,"×",IF(F22=H22,"△"))))</f>
        <v>○</v>
      </c>
      <c r="F22" s="667">
        <f>IF(AR4="","",AR4)</f>
        <v>2</v>
      </c>
      <c r="G22" s="665" t="s">
        <v>30</v>
      </c>
      <c r="H22" s="632">
        <f>IF(AP4="","",AP4)</f>
        <v>0</v>
      </c>
      <c r="I22" s="669" t="str">
        <f>IF(OR(J22="",L22=""),"",IF(J22&gt;L22,"○",IF(J22&lt;L22,"×",IF(J22=L22,"△"))))</f>
        <v>○</v>
      </c>
      <c r="J22" s="667">
        <f>IF(AR6="","",AR6)</f>
        <v>3</v>
      </c>
      <c r="K22" s="665" t="s">
        <v>30</v>
      </c>
      <c r="L22" s="632">
        <f>IF(AP6="","",AP6)</f>
        <v>0</v>
      </c>
      <c r="M22" s="669" t="str">
        <f>IF(OR(N22="",P22=""),"",IF(N22&gt;P22,"○",IF(N22&lt;P22,"×",IF(N22=P22,"△"))))</f>
        <v/>
      </c>
      <c r="N22" s="667" t="str">
        <f>IF(AR8="","",AR8)</f>
        <v/>
      </c>
      <c r="O22" s="665" t="s">
        <v>30</v>
      </c>
      <c r="P22" s="632" t="str">
        <f>IF(AP8="","",AP8)</f>
        <v/>
      </c>
      <c r="Q22" s="669" t="str">
        <f t="shared" si="45"/>
        <v/>
      </c>
      <c r="R22" s="667" t="str">
        <f>IF(AR10="","",AR10)</f>
        <v/>
      </c>
      <c r="S22" s="665" t="s">
        <v>30</v>
      </c>
      <c r="T22" s="632" t="str">
        <f>IF(AP10="","",AP10)</f>
        <v/>
      </c>
      <c r="U22" s="669" t="str">
        <f>IF(OR(V22="",X22=""),"",IF(V22&gt;X22,"○",IF(V22&lt;X22,"×",IF(V22=X22,"△"))))</f>
        <v/>
      </c>
      <c r="V22" s="667" t="str">
        <f>IF(AR12="","",AR12)</f>
        <v/>
      </c>
      <c r="W22" s="665" t="s">
        <v>30</v>
      </c>
      <c r="X22" s="632" t="str">
        <f>IF(AP12="","",AP12)</f>
        <v/>
      </c>
      <c r="Y22" s="669" t="str">
        <f>IF(OR(Z22="",AB22=""),"",IF(Z22&gt;AB22,"○",IF(Z22&lt;AB22,"×",IF(Z22=AB22,"△"))))</f>
        <v/>
      </c>
      <c r="Z22" s="667" t="str">
        <f>IF(AR14="","",AR14)</f>
        <v/>
      </c>
      <c r="AA22" s="665" t="s">
        <v>30</v>
      </c>
      <c r="AB22" s="632" t="str">
        <f>IF(AP14="","",AP14)</f>
        <v/>
      </c>
      <c r="AC22" s="669" t="str">
        <f t="shared" si="46"/>
        <v/>
      </c>
      <c r="AD22" s="667" t="str">
        <f>IF(AR16="","",AR16)</f>
        <v/>
      </c>
      <c r="AE22" s="665" t="s">
        <v>30</v>
      </c>
      <c r="AF22" s="632" t="str">
        <f>IF(AP16="","",AP16)</f>
        <v/>
      </c>
      <c r="AG22" s="669" t="str">
        <f>IF(OR(AH22="",AJ22=""),"",IF(AH22&gt;AJ22,"○",IF(AH22&lt;AJ22,"×",IF(AH22=AJ22,"△"))))</f>
        <v>○</v>
      </c>
      <c r="AH22" s="667">
        <f>IF(AR18="","",AR18)</f>
        <v>1</v>
      </c>
      <c r="AI22" s="665" t="s">
        <v>30</v>
      </c>
      <c r="AJ22" s="632">
        <f>IF(AP18="","",AP18)</f>
        <v>0</v>
      </c>
      <c r="AK22" s="669" t="str">
        <f>IF(OR(AL22="",AN22=""),"",IF(AL22&gt;AN22,"○",IF(AL22&lt;AN22,"×",IF(AL22=AN22,"△"))))</f>
        <v>○</v>
      </c>
      <c r="AL22" s="667">
        <f>IF(AR20="","",AR20)</f>
        <v>2</v>
      </c>
      <c r="AM22" s="665" t="s">
        <v>30</v>
      </c>
      <c r="AN22" s="632">
        <f>IF(AP20="","",AP20)</f>
        <v>1</v>
      </c>
      <c r="AO22" s="616"/>
      <c r="AP22" s="617"/>
      <c r="AQ22" s="617"/>
      <c r="AR22" s="618"/>
      <c r="AS22" s="647">
        <f>COUNTIF(E22:AR23,"○")+COUNTIF(E22:AR23,"×")+COUNTIF(E22:AR23,"△")</f>
        <v>4</v>
      </c>
      <c r="AT22" s="645">
        <f>COUNTIF(E22:AR23,"○")*3+COUNTIF(E22:AR23,"△")</f>
        <v>12</v>
      </c>
      <c r="AU22" s="641">
        <f>IF(AS22=0,0,AT22/(AS22*3))</f>
        <v>1</v>
      </c>
      <c r="AV22" s="634">
        <f t="shared" ref="AV22" si="49">AW22-SUM(H22,L22,P22,T22,X22,AB22,AF22,AJ22,AN22,AR22)</f>
        <v>7</v>
      </c>
      <c r="AW22" s="634">
        <f>SUM(F22,J22,N22,R22,V22,Z22,AD22,AH22,AL22,AP22)</f>
        <v>8</v>
      </c>
      <c r="AX22" s="634">
        <f>AU22+AV22*0.001+AW22*0.00001</f>
        <v>1.00708</v>
      </c>
      <c r="AY22" s="636">
        <f>RANK(AX22,$AX$4:$AX$23)</f>
        <v>1</v>
      </c>
      <c r="AZ22" s="634">
        <f>RANK(AX22,$AX$4:$AX$87)</f>
        <v>6</v>
      </c>
      <c r="BA22" s="247"/>
    </row>
    <row r="23" spans="1:53" ht="17.25" customHeight="1" x14ac:dyDescent="0.4">
      <c r="A23" s="678" t="str">
        <f ca="1">INDIRECT("U12組合せ!d"&amp;(ROW()-1)/2+12)</f>
        <v>昭和・戸祭ＳＣ-S</v>
      </c>
      <c r="B23" s="679"/>
      <c r="C23" s="679"/>
      <c r="D23" s="680"/>
      <c r="E23" s="670"/>
      <c r="F23" s="668"/>
      <c r="G23" s="666"/>
      <c r="H23" s="633"/>
      <c r="I23" s="670"/>
      <c r="J23" s="668"/>
      <c r="K23" s="666"/>
      <c r="L23" s="633"/>
      <c r="M23" s="670"/>
      <c r="N23" s="668"/>
      <c r="O23" s="666"/>
      <c r="P23" s="633"/>
      <c r="Q23" s="670"/>
      <c r="R23" s="668"/>
      <c r="S23" s="666"/>
      <c r="T23" s="633"/>
      <c r="U23" s="670"/>
      <c r="V23" s="668"/>
      <c r="W23" s="666"/>
      <c r="X23" s="633"/>
      <c r="Y23" s="670"/>
      <c r="Z23" s="668"/>
      <c r="AA23" s="666"/>
      <c r="AB23" s="633"/>
      <c r="AC23" s="670"/>
      <c r="AD23" s="668"/>
      <c r="AE23" s="666"/>
      <c r="AF23" s="633"/>
      <c r="AG23" s="670"/>
      <c r="AH23" s="668"/>
      <c r="AI23" s="666"/>
      <c r="AJ23" s="633"/>
      <c r="AK23" s="670"/>
      <c r="AL23" s="668"/>
      <c r="AM23" s="666"/>
      <c r="AN23" s="633"/>
      <c r="AO23" s="619"/>
      <c r="AP23" s="620"/>
      <c r="AQ23" s="620"/>
      <c r="AR23" s="621"/>
      <c r="AS23" s="648"/>
      <c r="AT23" s="646"/>
      <c r="AU23" s="642"/>
      <c r="AV23" s="637"/>
      <c r="AW23" s="637"/>
      <c r="AX23" s="637"/>
      <c r="AY23" s="635"/>
      <c r="AZ23" s="635"/>
      <c r="BA23" s="247"/>
    </row>
    <row r="24" spans="1:53" ht="21" customHeight="1" x14ac:dyDescent="0.4">
      <c r="A24" s="249"/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49"/>
      <c r="AJ24" s="249"/>
      <c r="AK24" s="249"/>
      <c r="AL24" s="249"/>
      <c r="AM24" s="249"/>
      <c r="AN24" s="249"/>
      <c r="AO24" s="249"/>
      <c r="AP24" s="249"/>
      <c r="AQ24" s="249"/>
      <c r="AR24" s="249"/>
      <c r="AS24" s="249"/>
      <c r="AT24" s="249"/>
      <c r="AU24" s="250"/>
      <c r="AV24" s="250"/>
      <c r="AW24" s="250"/>
      <c r="AX24" s="250"/>
      <c r="AY24" s="250"/>
      <c r="AZ24" s="251"/>
    </row>
    <row r="25" spans="1:53" x14ac:dyDescent="0.4">
      <c r="A25" s="681" t="s">
        <v>73</v>
      </c>
      <c r="B25" s="681"/>
      <c r="C25" s="681"/>
      <c r="D25" s="681"/>
      <c r="E25" s="681" t="str">
        <f ca="1">A27</f>
        <v>ＳＵＧＡＯ ＳＣ</v>
      </c>
      <c r="F25" s="681"/>
      <c r="G25" s="681"/>
      <c r="H25" s="681"/>
      <c r="I25" s="682" t="str">
        <f ca="1">A29</f>
        <v>ＦＣグラシアス</v>
      </c>
      <c r="J25" s="682"/>
      <c r="K25" s="682"/>
      <c r="L25" s="682"/>
      <c r="M25" s="682" t="str">
        <f ca="1">A31</f>
        <v>昭和・戸祭ＳＣ-O</v>
      </c>
      <c r="N25" s="682"/>
      <c r="O25" s="682"/>
      <c r="P25" s="682"/>
      <c r="Q25" s="682" t="str">
        <f ca="1">A33</f>
        <v>シャルムグランツＳＣ</v>
      </c>
      <c r="R25" s="682"/>
      <c r="S25" s="682"/>
      <c r="T25" s="682"/>
      <c r="U25" s="681" t="str">
        <f ca="1">A35</f>
        <v>ウエストフットコム</v>
      </c>
      <c r="V25" s="681"/>
      <c r="W25" s="681"/>
      <c r="X25" s="681"/>
      <c r="Y25" s="682" t="str">
        <f ca="1">A37</f>
        <v>雀宮ＦＣセカンド</v>
      </c>
      <c r="Z25" s="682"/>
      <c r="AA25" s="682"/>
      <c r="AB25" s="682"/>
      <c r="AC25" s="682" t="str">
        <f ca="1">A39</f>
        <v>ともぞうＳＣ</v>
      </c>
      <c r="AD25" s="682"/>
      <c r="AE25" s="682"/>
      <c r="AF25" s="682"/>
      <c r="AG25" s="682" t="str">
        <f ca="1">A41</f>
        <v>FCブロケード・陽東U11</v>
      </c>
      <c r="AH25" s="682"/>
      <c r="AI25" s="682"/>
      <c r="AJ25" s="682"/>
      <c r="AK25" s="682" t="str">
        <f ca="1">A43</f>
        <v>上三川ＳＣ</v>
      </c>
      <c r="AL25" s="682"/>
      <c r="AM25" s="682"/>
      <c r="AN25" s="682"/>
      <c r="AO25" s="682"/>
      <c r="AP25" s="682"/>
      <c r="AQ25" s="682"/>
      <c r="AR25" s="682"/>
      <c r="AS25" s="242" t="s">
        <v>57</v>
      </c>
      <c r="AT25" s="243" t="s">
        <v>56</v>
      </c>
      <c r="AU25" s="244" t="s">
        <v>60</v>
      </c>
      <c r="AV25" s="244" t="s">
        <v>58</v>
      </c>
      <c r="AW25" s="244" t="s">
        <v>28</v>
      </c>
      <c r="AX25" s="244"/>
      <c r="AY25" s="244" t="s">
        <v>61</v>
      </c>
      <c r="AZ25" s="245" t="s">
        <v>62</v>
      </c>
      <c r="BA25" s="246"/>
    </row>
    <row r="26" spans="1:53" ht="17.25" customHeight="1" x14ac:dyDescent="0.4">
      <c r="A26" s="675" t="s">
        <v>74</v>
      </c>
      <c r="B26" s="676"/>
      <c r="C26" s="676"/>
      <c r="D26" s="676"/>
      <c r="E26" s="616"/>
      <c r="F26" s="617"/>
      <c r="G26" s="617"/>
      <c r="H26" s="618"/>
      <c r="I26" s="663" t="str">
        <f>IF(OR(J26="",L26=""),"",IF(J26&gt;L26,"○",IF(J26&lt;L26,"×",IF(J26=L26,"△"))))</f>
        <v>△</v>
      </c>
      <c r="J26" s="661">
        <f>Ｂブロック対戦表!Q13</f>
        <v>1</v>
      </c>
      <c r="K26" s="630" t="s">
        <v>64</v>
      </c>
      <c r="L26" s="655">
        <f>Ｂブロック対戦表!V13</f>
        <v>1</v>
      </c>
      <c r="M26" s="663" t="str">
        <f>IF(OR(N26="",P26=""),"",IF(N26&gt;P26,"○",IF(N26&lt;P26,"×",IF(N26=P26,"△"))))</f>
        <v>×</v>
      </c>
      <c r="N26" s="661">
        <f>Ｂブロック対戦表!V17</f>
        <v>1</v>
      </c>
      <c r="O26" s="630" t="s">
        <v>64</v>
      </c>
      <c r="P26" s="655">
        <f>Ｂブロック対戦表!Q17</f>
        <v>7</v>
      </c>
      <c r="Q26" s="663" t="str">
        <f t="shared" ref="Q26:Q30" si="50">IF(OR(R26="",T26=""),"",IF(R26&gt;T26,"○",IF(R26&lt;T26,"×",IF(R26=T26,"△"))))</f>
        <v>○</v>
      </c>
      <c r="R26" s="671">
        <f>Ｂブロック対戦表!Q54</f>
        <v>3</v>
      </c>
      <c r="S26" s="628" t="s">
        <v>30</v>
      </c>
      <c r="T26" s="624">
        <f>Ｂブロック対戦表!V54</f>
        <v>1</v>
      </c>
      <c r="U26" s="663" t="str">
        <f t="shared" ref="U26:U30" si="51">IF(OR(V26="",X26=""),"",IF(V26&gt;X26,"○",IF(V26&lt;X26,"×",IF(V26=X26,"△"))))</f>
        <v/>
      </c>
      <c r="V26" s="657" t="str">
        <f>Ｂブロック対戦表!Q81</f>
        <v/>
      </c>
      <c r="W26" s="626" t="s">
        <v>30</v>
      </c>
      <c r="X26" s="622" t="str">
        <f>Ｂブロック対戦表!V81</f>
        <v/>
      </c>
      <c r="Y26" s="663" t="str">
        <f t="shared" ref="Y26:Y30" si="52">IF(OR(Z26="",AB26=""),"",IF(Z26&gt;AB26,"○",IF(Z26&lt;AB26,"×",IF(Z26=AB26,"△"))))</f>
        <v/>
      </c>
      <c r="Z26" s="657" t="str">
        <f>Ｂブロック対戦表!Q106</f>
        <v/>
      </c>
      <c r="AA26" s="626" t="s">
        <v>30</v>
      </c>
      <c r="AB26" s="622" t="str">
        <f>Ｂブロック対戦表!V106</f>
        <v/>
      </c>
      <c r="AC26" s="663" t="str">
        <f t="shared" ref="AC26:AC30" si="53">IF(OR(AD26="",AF26=""),"",IF(AD26&gt;AF26,"○",IF(AD26&lt;AF26,"×",IF(AD26=AF26,"△"))))</f>
        <v>×</v>
      </c>
      <c r="AD26" s="659">
        <f>Ｂブロック対戦表!V46</f>
        <v>0</v>
      </c>
      <c r="AE26" s="628" t="s">
        <v>30</v>
      </c>
      <c r="AF26" s="624">
        <f>Ｂブロック対戦表!Q46</f>
        <v>3</v>
      </c>
      <c r="AG26" s="663" t="str">
        <f t="shared" ref="AG26:AG30" si="54">IF(OR(AH26="",AJ26=""),"",IF(AH26&gt;AJ26,"○",IF(AH26&lt;AJ26,"×",IF(AH26=AJ26,"△"))))</f>
        <v/>
      </c>
      <c r="AH26" s="657" t="str">
        <f>Ｂブロック対戦表!V110</f>
        <v/>
      </c>
      <c r="AI26" s="626" t="s">
        <v>30</v>
      </c>
      <c r="AJ26" s="622" t="str">
        <f>Ｂブロック対戦表!Q110</f>
        <v/>
      </c>
      <c r="AK26" s="663" t="str">
        <f t="shared" ref="AK26:AK30" si="55">IF(OR(AL26="",AN26=""),"",IF(AL26&gt;AN26,"○",IF(AL26&lt;AN26,"×",IF(AL26=AN26,"△"))))</f>
        <v/>
      </c>
      <c r="AL26" s="657" t="str">
        <f>Ｂブロック対戦表!V85</f>
        <v/>
      </c>
      <c r="AM26" s="626" t="s">
        <v>30</v>
      </c>
      <c r="AN26" s="622" t="str">
        <f>Ｂブロック対戦表!Q85</f>
        <v/>
      </c>
      <c r="AO26" s="653"/>
      <c r="AP26" s="626"/>
      <c r="AQ26" s="626"/>
      <c r="AR26" s="651"/>
      <c r="AS26" s="647">
        <f t="shared" ref="AS26:AS30" si="56">COUNTIF(E26:AR27,"○")+COUNTIF(E26:AR27,"×")+COUNTIF(E26:AR27,"△")</f>
        <v>4</v>
      </c>
      <c r="AT26" s="645">
        <f t="shared" ref="AT26:AT30" si="57">COUNTIF(E26:AR27,"○")*3+COUNTIF(E26:AR27,"△")</f>
        <v>4</v>
      </c>
      <c r="AU26" s="641">
        <f t="shared" ref="AU26:AU30" si="58">IF(AS26=0,0,AT26/(AS26*3))</f>
        <v>0.33333333333333331</v>
      </c>
      <c r="AV26" s="634">
        <f t="shared" ref="AV26" si="59">AW26-SUM(H26,L26,P26,T26,X26,AB26,AF26,AJ26,AN26,AR26)</f>
        <v>-7</v>
      </c>
      <c r="AW26" s="634">
        <f t="shared" ref="AW26:AW30" si="60">SUM(F26,J26,N26,R26,V26,Z26,AD26,AH26,AL26,AP26)</f>
        <v>5</v>
      </c>
      <c r="AX26" s="634">
        <f t="shared" ref="AX26:AX30" si="61">AU26+AV26*0.001+AW26*0.00001</f>
        <v>0.3263833333333333</v>
      </c>
      <c r="AY26" s="636">
        <f>RANK(AX26,$AX$26:$AX$45)</f>
        <v>5</v>
      </c>
      <c r="AZ26" s="634">
        <f>RANK(AX26,$AX$4:$AX$87)</f>
        <v>24</v>
      </c>
      <c r="BA26" s="247"/>
    </row>
    <row r="27" spans="1:53" ht="17.25" customHeight="1" x14ac:dyDescent="0.4">
      <c r="A27" s="678" t="str">
        <f t="shared" ref="A27:A31" ca="1" si="62">INDIRECT("U12組合せ!f"&amp;(ROW()-1)/2+1)</f>
        <v>ＳＵＧＡＯ ＳＣ</v>
      </c>
      <c r="B27" s="679"/>
      <c r="C27" s="679"/>
      <c r="D27" s="680"/>
      <c r="E27" s="619"/>
      <c r="F27" s="620"/>
      <c r="G27" s="620"/>
      <c r="H27" s="621"/>
      <c r="I27" s="664"/>
      <c r="J27" s="662"/>
      <c r="K27" s="631"/>
      <c r="L27" s="656"/>
      <c r="M27" s="664"/>
      <c r="N27" s="662"/>
      <c r="O27" s="631"/>
      <c r="P27" s="656"/>
      <c r="Q27" s="664"/>
      <c r="R27" s="672"/>
      <c r="S27" s="629"/>
      <c r="T27" s="625"/>
      <c r="U27" s="664"/>
      <c r="V27" s="658"/>
      <c r="W27" s="627"/>
      <c r="X27" s="623"/>
      <c r="Y27" s="664"/>
      <c r="Z27" s="658"/>
      <c r="AA27" s="627"/>
      <c r="AB27" s="623"/>
      <c r="AC27" s="664"/>
      <c r="AD27" s="660"/>
      <c r="AE27" s="629"/>
      <c r="AF27" s="625"/>
      <c r="AG27" s="664"/>
      <c r="AH27" s="658"/>
      <c r="AI27" s="627"/>
      <c r="AJ27" s="623"/>
      <c r="AK27" s="664"/>
      <c r="AL27" s="658"/>
      <c r="AM27" s="627"/>
      <c r="AN27" s="623"/>
      <c r="AO27" s="654"/>
      <c r="AP27" s="627"/>
      <c r="AQ27" s="627"/>
      <c r="AR27" s="652"/>
      <c r="AS27" s="648"/>
      <c r="AT27" s="646"/>
      <c r="AU27" s="642"/>
      <c r="AV27" s="637"/>
      <c r="AW27" s="637"/>
      <c r="AX27" s="637"/>
      <c r="AY27" s="635"/>
      <c r="AZ27" s="635"/>
      <c r="BA27" s="247"/>
    </row>
    <row r="28" spans="1:53" ht="17.25" customHeight="1" x14ac:dyDescent="0.4">
      <c r="A28" s="675" t="s">
        <v>75</v>
      </c>
      <c r="B28" s="676"/>
      <c r="C28" s="676"/>
      <c r="D28" s="677"/>
      <c r="E28" s="663" t="str">
        <f t="shared" ref="E28:E32" si="63">IF(OR(F28="",H28=""),"",IF(F28&gt;H28,"○",IF(F28&lt;H28,"×",IF(F28=H28,"△"))))</f>
        <v>△</v>
      </c>
      <c r="F28" s="657">
        <f>IF(L26="","",L26)</f>
        <v>1</v>
      </c>
      <c r="G28" s="626" t="s">
        <v>30</v>
      </c>
      <c r="H28" s="622">
        <f>IF(J26="","",J26)</f>
        <v>1</v>
      </c>
      <c r="I28" s="616"/>
      <c r="J28" s="617"/>
      <c r="K28" s="617"/>
      <c r="L28" s="618"/>
      <c r="M28" s="663" t="str">
        <f>IF(OR(N28="",P28=""),"",IF(N28&gt;P28,"○",IF(N28&lt;P28,"×",IF(N28=P28,"△"))))</f>
        <v>×</v>
      </c>
      <c r="N28" s="661">
        <f>Ｂブロック対戦表!Q21</f>
        <v>1</v>
      </c>
      <c r="O28" s="630" t="s">
        <v>64</v>
      </c>
      <c r="P28" s="655">
        <f>Ｂブロック対戦表!V21</f>
        <v>6</v>
      </c>
      <c r="Q28" s="663" t="str">
        <f t="shared" si="50"/>
        <v/>
      </c>
      <c r="R28" s="657" t="str">
        <f>Ｂブロック対戦表!Q108</f>
        <v/>
      </c>
      <c r="S28" s="626" t="s">
        <v>30</v>
      </c>
      <c r="T28" s="622" t="str">
        <f>Ｂブロック対戦表!V108</f>
        <v/>
      </c>
      <c r="U28" s="663" t="str">
        <f t="shared" si="51"/>
        <v>×</v>
      </c>
      <c r="V28" s="659">
        <f>Ｂブロック対戦表!Q52</f>
        <v>0</v>
      </c>
      <c r="W28" s="628" t="s">
        <v>30</v>
      </c>
      <c r="X28" s="624">
        <f>Ｂブロック対戦表!V52</f>
        <v>3</v>
      </c>
      <c r="Y28" s="663" t="str">
        <f t="shared" si="52"/>
        <v/>
      </c>
      <c r="Z28" s="657" t="str">
        <f>Ｂブロック対戦表!Q79</f>
        <v/>
      </c>
      <c r="AA28" s="626" t="s">
        <v>30</v>
      </c>
      <c r="AB28" s="622" t="str">
        <f>Ｂブロック対戦表!V79</f>
        <v/>
      </c>
      <c r="AC28" s="663" t="str">
        <f t="shared" si="53"/>
        <v/>
      </c>
      <c r="AD28" s="657" t="str">
        <f>Ｂブロック対戦表!V83</f>
        <v/>
      </c>
      <c r="AE28" s="626" t="s">
        <v>30</v>
      </c>
      <c r="AF28" s="622" t="str">
        <f>Ｂブロック対戦表!Q83</f>
        <v/>
      </c>
      <c r="AG28" s="663" t="str">
        <f t="shared" si="54"/>
        <v>○</v>
      </c>
      <c r="AH28" s="659">
        <f>Ｂブロック対戦表!V44</f>
        <v>2</v>
      </c>
      <c r="AI28" s="628" t="s">
        <v>30</v>
      </c>
      <c r="AJ28" s="624">
        <f>Ｂブロック対戦表!Q44</f>
        <v>1</v>
      </c>
      <c r="AK28" s="663" t="str">
        <f t="shared" si="55"/>
        <v/>
      </c>
      <c r="AL28" s="657" t="str">
        <f>Ｂブロック対戦表!V112</f>
        <v/>
      </c>
      <c r="AM28" s="626" t="s">
        <v>30</v>
      </c>
      <c r="AN28" s="622" t="str">
        <f>Ｂブロック対戦表!Q112</f>
        <v/>
      </c>
      <c r="AO28" s="653"/>
      <c r="AP28" s="626"/>
      <c r="AQ28" s="626"/>
      <c r="AR28" s="651"/>
      <c r="AS28" s="647">
        <f t="shared" si="56"/>
        <v>4</v>
      </c>
      <c r="AT28" s="643">
        <f t="shared" si="57"/>
        <v>4</v>
      </c>
      <c r="AU28" s="639">
        <f t="shared" si="58"/>
        <v>0.33333333333333331</v>
      </c>
      <c r="AV28" s="634">
        <f t="shared" ref="AV28" si="64">AW28-SUM(H28,L28,P28,T28,X28,AB28,AF28,AJ28,AN28,AR28)</f>
        <v>-7</v>
      </c>
      <c r="AW28" s="634">
        <f t="shared" si="60"/>
        <v>4</v>
      </c>
      <c r="AX28" s="634">
        <f t="shared" si="61"/>
        <v>0.32637333333333329</v>
      </c>
      <c r="AY28" s="636">
        <f t="shared" ref="AY28" si="65">RANK(AX28,$AX$26:$AX$45)</f>
        <v>6</v>
      </c>
      <c r="AZ28" s="634">
        <f>RANK(AX28,$AX$4:$AX$87)</f>
        <v>25</v>
      </c>
      <c r="BA28" s="247"/>
    </row>
    <row r="29" spans="1:53" ht="17.25" customHeight="1" x14ac:dyDescent="0.4">
      <c r="A29" s="678" t="str">
        <f t="shared" ca="1" si="62"/>
        <v>ＦＣグラシアス</v>
      </c>
      <c r="B29" s="679"/>
      <c r="C29" s="679"/>
      <c r="D29" s="680"/>
      <c r="E29" s="664"/>
      <c r="F29" s="658"/>
      <c r="G29" s="627"/>
      <c r="H29" s="623"/>
      <c r="I29" s="619"/>
      <c r="J29" s="620"/>
      <c r="K29" s="620"/>
      <c r="L29" s="621"/>
      <c r="M29" s="664"/>
      <c r="N29" s="662"/>
      <c r="O29" s="631"/>
      <c r="P29" s="656"/>
      <c r="Q29" s="664"/>
      <c r="R29" s="658"/>
      <c r="S29" s="627"/>
      <c r="T29" s="623"/>
      <c r="U29" s="664"/>
      <c r="V29" s="660"/>
      <c r="W29" s="629"/>
      <c r="X29" s="625"/>
      <c r="Y29" s="664"/>
      <c r="Z29" s="658"/>
      <c r="AA29" s="627"/>
      <c r="AB29" s="623"/>
      <c r="AC29" s="664"/>
      <c r="AD29" s="658"/>
      <c r="AE29" s="627"/>
      <c r="AF29" s="623"/>
      <c r="AG29" s="664"/>
      <c r="AH29" s="660"/>
      <c r="AI29" s="629"/>
      <c r="AJ29" s="625"/>
      <c r="AK29" s="664"/>
      <c r="AL29" s="658"/>
      <c r="AM29" s="627"/>
      <c r="AN29" s="623"/>
      <c r="AO29" s="654"/>
      <c r="AP29" s="627"/>
      <c r="AQ29" s="627"/>
      <c r="AR29" s="652"/>
      <c r="AS29" s="648"/>
      <c r="AT29" s="644"/>
      <c r="AU29" s="640"/>
      <c r="AV29" s="637"/>
      <c r="AW29" s="637"/>
      <c r="AX29" s="637"/>
      <c r="AY29" s="635"/>
      <c r="AZ29" s="635"/>
      <c r="BA29" s="247"/>
    </row>
    <row r="30" spans="1:53" ht="17.25" customHeight="1" x14ac:dyDescent="0.4">
      <c r="A30" s="675" t="s">
        <v>76</v>
      </c>
      <c r="B30" s="676"/>
      <c r="C30" s="676"/>
      <c r="D30" s="677"/>
      <c r="E30" s="663" t="str">
        <f t="shared" si="63"/>
        <v>○</v>
      </c>
      <c r="F30" s="657">
        <f>IF(P26="","",P26)</f>
        <v>7</v>
      </c>
      <c r="G30" s="626" t="s">
        <v>30</v>
      </c>
      <c r="H30" s="622">
        <f>IF(N26="","",N26)</f>
        <v>1</v>
      </c>
      <c r="I30" s="663" t="str">
        <f t="shared" ref="I30:I34" si="66">IF(OR(J30="",L30=""),"",IF(J30&gt;L30,"○",IF(J30&lt;L30,"×",IF(J30=L30,"△"))))</f>
        <v>○</v>
      </c>
      <c r="J30" s="657">
        <f>IF(P28="","",P28)</f>
        <v>6</v>
      </c>
      <c r="K30" s="626" t="s">
        <v>30</v>
      </c>
      <c r="L30" s="622">
        <f>IF(N28="","",N28)</f>
        <v>1</v>
      </c>
      <c r="M30" s="616"/>
      <c r="N30" s="617"/>
      <c r="O30" s="617"/>
      <c r="P30" s="618"/>
      <c r="Q30" s="663" t="str">
        <f t="shared" si="50"/>
        <v/>
      </c>
      <c r="R30" s="657" t="str">
        <f>'Ａ＋Ｂブロック対戦表'!Q81</f>
        <v/>
      </c>
      <c r="S30" s="626" t="s">
        <v>64</v>
      </c>
      <c r="T30" s="622" t="str">
        <f>'Ａ＋Ｂブロック対戦表'!V81</f>
        <v/>
      </c>
      <c r="U30" s="663" t="str">
        <f t="shared" si="51"/>
        <v/>
      </c>
      <c r="V30" s="657" t="str">
        <f>'Ａ＋Ｂブロック対戦表'!Q108</f>
        <v/>
      </c>
      <c r="W30" s="626" t="s">
        <v>30</v>
      </c>
      <c r="X30" s="622" t="str">
        <f>'Ａ＋Ｂブロック対戦表'!V108</f>
        <v/>
      </c>
      <c r="Y30" s="663" t="str">
        <f t="shared" si="52"/>
        <v>○</v>
      </c>
      <c r="Z30" s="659">
        <f>'Ａ＋Ｂブロック対戦表'!Q54</f>
        <v>9</v>
      </c>
      <c r="AA30" s="628" t="s">
        <v>30</v>
      </c>
      <c r="AB30" s="624">
        <f>'Ａ＋Ｂブロック対戦表'!V54</f>
        <v>0</v>
      </c>
      <c r="AC30" s="663" t="str">
        <f t="shared" si="53"/>
        <v/>
      </c>
      <c r="AD30" s="657" t="str">
        <f>'Ａ＋Ｂブロック対戦表'!V112</f>
        <v/>
      </c>
      <c r="AE30" s="626" t="s">
        <v>30</v>
      </c>
      <c r="AF30" s="622" t="str">
        <f>'Ａ＋Ｂブロック対戦表'!Q112</f>
        <v/>
      </c>
      <c r="AG30" s="663" t="str">
        <f t="shared" si="54"/>
        <v/>
      </c>
      <c r="AH30" s="657" t="str">
        <f>'Ａ＋Ｂブロック対戦表'!V85</f>
        <v/>
      </c>
      <c r="AI30" s="626" t="s">
        <v>30</v>
      </c>
      <c r="AJ30" s="622" t="str">
        <f>'Ａ＋Ｂブロック対戦表'!Q85</f>
        <v/>
      </c>
      <c r="AK30" s="663" t="str">
        <f t="shared" si="55"/>
        <v>○</v>
      </c>
      <c r="AL30" s="659">
        <f>'Ａ＋Ｂブロック対戦表'!V46</f>
        <v>1</v>
      </c>
      <c r="AM30" s="628" t="s">
        <v>30</v>
      </c>
      <c r="AN30" s="624">
        <f>'Ａ＋Ｂブロック対戦表'!Q46</f>
        <v>0</v>
      </c>
      <c r="AO30" s="653"/>
      <c r="AP30" s="626"/>
      <c r="AQ30" s="626"/>
      <c r="AR30" s="651"/>
      <c r="AS30" s="647">
        <f t="shared" si="56"/>
        <v>4</v>
      </c>
      <c r="AT30" s="645">
        <f t="shared" si="57"/>
        <v>12</v>
      </c>
      <c r="AU30" s="641">
        <f t="shared" si="58"/>
        <v>1</v>
      </c>
      <c r="AV30" s="634">
        <f t="shared" ref="AV30" si="67">AW30-SUM(H30,L30,P30,T30,X30,AB30,AF30,AJ30,AN30,AR30)</f>
        <v>21</v>
      </c>
      <c r="AW30" s="634">
        <f t="shared" si="60"/>
        <v>23</v>
      </c>
      <c r="AX30" s="634">
        <f t="shared" si="61"/>
        <v>1.0212299999999999</v>
      </c>
      <c r="AY30" s="636">
        <f t="shared" ref="AY30" si="68">RANK(AX30,$AX$26:$AX$45)</f>
        <v>2</v>
      </c>
      <c r="AZ30" s="634">
        <f>RANK(AX30,$AX$4:$AX$87)</f>
        <v>2</v>
      </c>
      <c r="BA30" s="247"/>
    </row>
    <row r="31" spans="1:53" ht="17.25" customHeight="1" x14ac:dyDescent="0.4">
      <c r="A31" s="678" t="str">
        <f t="shared" ca="1" si="62"/>
        <v>昭和・戸祭ＳＣ-O</v>
      </c>
      <c r="B31" s="679"/>
      <c r="C31" s="679"/>
      <c r="D31" s="680"/>
      <c r="E31" s="664"/>
      <c r="F31" s="658"/>
      <c r="G31" s="627"/>
      <c r="H31" s="623"/>
      <c r="I31" s="664"/>
      <c r="J31" s="658"/>
      <c r="K31" s="627"/>
      <c r="L31" s="623"/>
      <c r="M31" s="619"/>
      <c r="N31" s="620"/>
      <c r="O31" s="620"/>
      <c r="P31" s="621"/>
      <c r="Q31" s="664"/>
      <c r="R31" s="658"/>
      <c r="S31" s="627"/>
      <c r="T31" s="623"/>
      <c r="U31" s="664"/>
      <c r="V31" s="658"/>
      <c r="W31" s="627"/>
      <c r="X31" s="623"/>
      <c r="Y31" s="664"/>
      <c r="Z31" s="660"/>
      <c r="AA31" s="629"/>
      <c r="AB31" s="625"/>
      <c r="AC31" s="664"/>
      <c r="AD31" s="658"/>
      <c r="AE31" s="627"/>
      <c r="AF31" s="623"/>
      <c r="AG31" s="664"/>
      <c r="AH31" s="658"/>
      <c r="AI31" s="627"/>
      <c r="AJ31" s="623"/>
      <c r="AK31" s="664"/>
      <c r="AL31" s="660"/>
      <c r="AM31" s="629"/>
      <c r="AN31" s="625"/>
      <c r="AO31" s="654"/>
      <c r="AP31" s="627"/>
      <c r="AQ31" s="627"/>
      <c r="AR31" s="652"/>
      <c r="AS31" s="648"/>
      <c r="AT31" s="646"/>
      <c r="AU31" s="642"/>
      <c r="AV31" s="637"/>
      <c r="AW31" s="637"/>
      <c r="AX31" s="637"/>
      <c r="AY31" s="635"/>
      <c r="AZ31" s="635"/>
      <c r="BA31" s="247"/>
    </row>
    <row r="32" spans="1:53" ht="17.25" customHeight="1" x14ac:dyDescent="0.4">
      <c r="A32" s="675" t="s">
        <v>77</v>
      </c>
      <c r="B32" s="676"/>
      <c r="C32" s="676"/>
      <c r="D32" s="677"/>
      <c r="E32" s="663" t="str">
        <f t="shared" si="63"/>
        <v>×</v>
      </c>
      <c r="F32" s="657">
        <f>IF(T26="","",T26)</f>
        <v>1</v>
      </c>
      <c r="G32" s="626" t="s">
        <v>30</v>
      </c>
      <c r="H32" s="622">
        <f>IF(R26="","",R26)</f>
        <v>3</v>
      </c>
      <c r="I32" s="663" t="str">
        <f t="shared" si="66"/>
        <v/>
      </c>
      <c r="J32" s="657" t="str">
        <f>IF(T28="","",T28)</f>
        <v/>
      </c>
      <c r="K32" s="626" t="s">
        <v>30</v>
      </c>
      <c r="L32" s="622" t="str">
        <f>IF(R28="","",R28)</f>
        <v/>
      </c>
      <c r="M32" s="663" t="str">
        <f t="shared" ref="M32:M36" si="69">IF(OR(N32="",P32=""),"",IF(N32&gt;P32,"○",IF(N32&lt;P32,"×",IF(N32=P32,"△"))))</f>
        <v/>
      </c>
      <c r="N32" s="657" t="str">
        <f>IF(T30="","",T30)</f>
        <v/>
      </c>
      <c r="O32" s="626" t="s">
        <v>30</v>
      </c>
      <c r="P32" s="622" t="str">
        <f>IF(R30="","",R30)</f>
        <v/>
      </c>
      <c r="Q32" s="616"/>
      <c r="R32" s="617"/>
      <c r="S32" s="617"/>
      <c r="T32" s="618"/>
      <c r="U32" s="663" t="str">
        <f>IF(OR(V32="",X32=""),"",IF(V32&gt;X32,"○",IF(V32&lt;X32,"×",IF(V32=X32,"△"))))</f>
        <v>△</v>
      </c>
      <c r="V32" s="661">
        <f>Ｂブロック対戦表!Q15</f>
        <v>0</v>
      </c>
      <c r="W32" s="630" t="s">
        <v>64</v>
      </c>
      <c r="X32" s="655">
        <f>Ｂブロック対戦表!V15</f>
        <v>0</v>
      </c>
      <c r="Y32" s="663" t="str">
        <f>IF(OR(Z32="",AB32=""),"",IF(Z32&gt;AB32,"○",IF(Z32&lt;AB32,"×",IF(Z32=AB32,"△"))))</f>
        <v>○</v>
      </c>
      <c r="Z32" s="661">
        <f>Ｂブロック対戦表!V19</f>
        <v>1</v>
      </c>
      <c r="AA32" s="630" t="s">
        <v>30</v>
      </c>
      <c r="AB32" s="655">
        <f>Ｂブロック対戦表!Q19</f>
        <v>0</v>
      </c>
      <c r="AC32" s="663" t="str">
        <f t="shared" ref="AC32:AC36" si="70">IF(OR(AD32="",AF32=""),"",IF(AD32&gt;AF32,"○",IF(AD32&lt;AF32,"×",IF(AD32=AF32,"△"))))</f>
        <v>×</v>
      </c>
      <c r="AD32" s="659">
        <f>Ｂブロック対戦表!Q50</f>
        <v>0</v>
      </c>
      <c r="AE32" s="628" t="s">
        <v>30</v>
      </c>
      <c r="AF32" s="624">
        <f>Ｂブロック対戦表!V50</f>
        <v>7</v>
      </c>
      <c r="AG32" s="663" t="str">
        <f t="shared" ref="AG32:AG36" si="71">IF(OR(AH32="",AJ32=""),"",IF(AH32&gt;AJ32,"○",IF(AH32&lt;AJ32,"×",IF(AH32=AJ32,"△"))))</f>
        <v/>
      </c>
      <c r="AH32" s="657" t="str">
        <f>'Ａ＋Ｂブロック対戦表'!Q77</f>
        <v/>
      </c>
      <c r="AI32" s="626" t="s">
        <v>30</v>
      </c>
      <c r="AJ32" s="622" t="str">
        <f>'Ａ＋Ｂブロック対戦表'!V77</f>
        <v/>
      </c>
      <c r="AK32" s="663" t="str">
        <f t="shared" ref="AK32:AK36" si="72">IF(OR(AL32="",AN32=""),"",IF(AL32&gt;AN32,"○",IF(AL32&lt;AN32,"×",IF(AL32=AN32,"△"))))</f>
        <v/>
      </c>
      <c r="AL32" s="657" t="str">
        <f>Ｂブロック対戦表!Q116</f>
        <v/>
      </c>
      <c r="AM32" s="626" t="s">
        <v>30</v>
      </c>
      <c r="AN32" s="622" t="str">
        <f>Ｂブロック対戦表!V116</f>
        <v/>
      </c>
      <c r="AO32" s="653"/>
      <c r="AP32" s="626"/>
      <c r="AQ32" s="626"/>
      <c r="AR32" s="651"/>
      <c r="AS32" s="647">
        <f t="shared" ref="AS32:AS36" si="73">COUNTIF(E32:AR33,"○")+COUNTIF(E32:AR33,"×")+COUNTIF(E32:AR33,"△")</f>
        <v>4</v>
      </c>
      <c r="AT32" s="645">
        <f t="shared" ref="AT32:AT36" si="74">COUNTIF(E32:AR33,"○")*3+COUNTIF(E32:AR33,"△")</f>
        <v>4</v>
      </c>
      <c r="AU32" s="639">
        <f t="shared" ref="AU32:AU36" si="75">IF(AS32=0,0,AT32/(AS32*3))</f>
        <v>0.33333333333333331</v>
      </c>
      <c r="AV32" s="634">
        <f t="shared" ref="AV32" si="76">AW32-SUM(H32,L32,P32,T32,X32,AB32,AF32,AJ32,AN32,AR32)</f>
        <v>-8</v>
      </c>
      <c r="AW32" s="634">
        <f t="shared" ref="AW32:AW36" si="77">SUM(F32,J32,N32,R32,V32,Z32,AD32,AH32,AL32,AP32)</f>
        <v>2</v>
      </c>
      <c r="AX32" s="634">
        <f t="shared" ref="AX32:AX36" si="78">AU32+AV32*0.001+AW32*0.00001</f>
        <v>0.32535333333333333</v>
      </c>
      <c r="AY32" s="636">
        <f t="shared" ref="AY32" si="79">RANK(AX32,$AX$26:$AX$45)</f>
        <v>7</v>
      </c>
      <c r="AZ32" s="634">
        <f>RANK(AX32,$AX$4:$AX$87)</f>
        <v>26</v>
      </c>
      <c r="BA32" s="247"/>
    </row>
    <row r="33" spans="1:53" ht="17.25" customHeight="1" x14ac:dyDescent="0.4">
      <c r="A33" s="678" t="str">
        <f t="shared" ref="A33:A37" ca="1" si="80">INDIRECT("U12組合せ!f"&amp;(ROW()-1)/2+1)</f>
        <v>シャルムグランツＳＣ</v>
      </c>
      <c r="B33" s="679"/>
      <c r="C33" s="679"/>
      <c r="D33" s="680"/>
      <c r="E33" s="664"/>
      <c r="F33" s="658"/>
      <c r="G33" s="627"/>
      <c r="H33" s="623"/>
      <c r="I33" s="664"/>
      <c r="J33" s="658"/>
      <c r="K33" s="627"/>
      <c r="L33" s="623"/>
      <c r="M33" s="664"/>
      <c r="N33" s="658"/>
      <c r="O33" s="627"/>
      <c r="P33" s="623"/>
      <c r="Q33" s="619"/>
      <c r="R33" s="620"/>
      <c r="S33" s="620"/>
      <c r="T33" s="621"/>
      <c r="U33" s="664"/>
      <c r="V33" s="662"/>
      <c r="W33" s="631"/>
      <c r="X33" s="656"/>
      <c r="Y33" s="664"/>
      <c r="Z33" s="662"/>
      <c r="AA33" s="631"/>
      <c r="AB33" s="656"/>
      <c r="AC33" s="664"/>
      <c r="AD33" s="660"/>
      <c r="AE33" s="629"/>
      <c r="AF33" s="625"/>
      <c r="AG33" s="664"/>
      <c r="AH33" s="658"/>
      <c r="AI33" s="627"/>
      <c r="AJ33" s="623"/>
      <c r="AK33" s="664"/>
      <c r="AL33" s="658"/>
      <c r="AM33" s="627"/>
      <c r="AN33" s="623"/>
      <c r="AO33" s="654"/>
      <c r="AP33" s="627"/>
      <c r="AQ33" s="627"/>
      <c r="AR33" s="652"/>
      <c r="AS33" s="648"/>
      <c r="AT33" s="646"/>
      <c r="AU33" s="640"/>
      <c r="AV33" s="637"/>
      <c r="AW33" s="637"/>
      <c r="AX33" s="637"/>
      <c r="AY33" s="635"/>
      <c r="AZ33" s="635"/>
      <c r="BA33" s="247"/>
    </row>
    <row r="34" spans="1:53" ht="17.25" customHeight="1" x14ac:dyDescent="0.4">
      <c r="A34" s="675" t="s">
        <v>78</v>
      </c>
      <c r="B34" s="676"/>
      <c r="C34" s="676"/>
      <c r="D34" s="677"/>
      <c r="E34" s="663" t="str">
        <f t="shared" ref="E34:E38" si="81">IF(OR(F34="",H34=""),"",IF(F34&gt;H34,"○",IF(F34&lt;H34,"×",IF(F34=H34,"△"))))</f>
        <v/>
      </c>
      <c r="F34" s="657" t="str">
        <f>IF(X26="","",X26)</f>
        <v/>
      </c>
      <c r="G34" s="626" t="s">
        <v>30</v>
      </c>
      <c r="H34" s="622" t="str">
        <f>IF(V26="","",V26)</f>
        <v/>
      </c>
      <c r="I34" s="663" t="str">
        <f t="shared" si="66"/>
        <v>○</v>
      </c>
      <c r="J34" s="657">
        <f>IF(X28="","",X28)</f>
        <v>3</v>
      </c>
      <c r="K34" s="626" t="s">
        <v>30</v>
      </c>
      <c r="L34" s="622">
        <f>IF(V28="","",V28)</f>
        <v>0</v>
      </c>
      <c r="M34" s="663" t="str">
        <f t="shared" si="69"/>
        <v/>
      </c>
      <c r="N34" s="657" t="str">
        <f>IF(X30="","",X30)</f>
        <v/>
      </c>
      <c r="O34" s="626" t="s">
        <v>30</v>
      </c>
      <c r="P34" s="622" t="str">
        <f>IF(V30="","",V30)</f>
        <v/>
      </c>
      <c r="Q34" s="663" t="str">
        <f t="shared" ref="Q34:Q38" si="82">IF(OR(R34="",T34=""),"",IF(R34&gt;T34,"○",IF(R34&lt;T34,"×",IF(R34=T34,"△"))))</f>
        <v>△</v>
      </c>
      <c r="R34" s="657">
        <f>IF(X32="","",X32)</f>
        <v>0</v>
      </c>
      <c r="S34" s="626" t="s">
        <v>30</v>
      </c>
      <c r="T34" s="622">
        <f>IF(V32="","",V32)</f>
        <v>0</v>
      </c>
      <c r="U34" s="616"/>
      <c r="V34" s="617"/>
      <c r="W34" s="617"/>
      <c r="X34" s="618"/>
      <c r="Y34" s="663" t="str">
        <f>IF(OR(Z34="",AB34=""),"",IF(Z34&gt;AB34,"○",IF(Z34&lt;AB34,"×",IF(Z34=AB34,"△"))))</f>
        <v>△</v>
      </c>
      <c r="Z34" s="661">
        <f>Ｂブロック対戦表!Q15</f>
        <v>0</v>
      </c>
      <c r="AA34" s="630" t="s">
        <v>64</v>
      </c>
      <c r="AB34" s="655">
        <f>Ｂブロック対戦表!V23</f>
        <v>0</v>
      </c>
      <c r="AC34" s="663" t="str">
        <f t="shared" si="70"/>
        <v/>
      </c>
      <c r="AD34" s="657" t="str">
        <f>'Ａ＋Ｂブロック対戦表'!Q116</f>
        <v/>
      </c>
      <c r="AE34" s="626" t="s">
        <v>30</v>
      </c>
      <c r="AF34" s="622" t="str">
        <f>'Ａ＋Ｂブロック対戦表'!V116</f>
        <v/>
      </c>
      <c r="AG34" s="663" t="str">
        <f t="shared" si="71"/>
        <v>×</v>
      </c>
      <c r="AH34" s="659">
        <f>Ｂブロック対戦表!Q48</f>
        <v>3</v>
      </c>
      <c r="AI34" s="628" t="s">
        <v>30</v>
      </c>
      <c r="AJ34" s="624">
        <f>Ｂブロック対戦表!V48</f>
        <v>5</v>
      </c>
      <c r="AK34" s="663" t="str">
        <f t="shared" si="72"/>
        <v/>
      </c>
      <c r="AL34" s="657" t="str">
        <f>Ｂブロック対戦表!Q77</f>
        <v/>
      </c>
      <c r="AM34" s="626" t="s">
        <v>30</v>
      </c>
      <c r="AN34" s="622" t="str">
        <f>Ｂブロック対戦表!V77</f>
        <v/>
      </c>
      <c r="AO34" s="653"/>
      <c r="AP34" s="626"/>
      <c r="AQ34" s="626"/>
      <c r="AR34" s="651"/>
      <c r="AS34" s="647">
        <f t="shared" si="73"/>
        <v>4</v>
      </c>
      <c r="AT34" s="645">
        <f t="shared" si="74"/>
        <v>5</v>
      </c>
      <c r="AU34" s="641">
        <f t="shared" si="75"/>
        <v>0.41666666666666669</v>
      </c>
      <c r="AV34" s="634">
        <f t="shared" ref="AV34" si="83">AW34-SUM(H34,L34,P34,T34,X34,AB34,AF34,AJ34,AN34,AR34)</f>
        <v>1</v>
      </c>
      <c r="AW34" s="634">
        <f t="shared" si="77"/>
        <v>6</v>
      </c>
      <c r="AX34" s="634">
        <f t="shared" si="78"/>
        <v>0.41772666666666669</v>
      </c>
      <c r="AY34" s="636">
        <f t="shared" ref="AY34" si="84">RANK(AX34,$AX$26:$AX$45)</f>
        <v>3</v>
      </c>
      <c r="AZ34" s="634">
        <f>RANK(AX34,$AX$4:$AX$87)</f>
        <v>17</v>
      </c>
      <c r="BA34" s="247"/>
    </row>
    <row r="35" spans="1:53" ht="17.25" customHeight="1" x14ac:dyDescent="0.4">
      <c r="A35" s="678" t="str">
        <f t="shared" ca="1" si="80"/>
        <v>ウエストフットコム</v>
      </c>
      <c r="B35" s="679"/>
      <c r="C35" s="679"/>
      <c r="D35" s="680"/>
      <c r="E35" s="664"/>
      <c r="F35" s="658"/>
      <c r="G35" s="627"/>
      <c r="H35" s="623"/>
      <c r="I35" s="664"/>
      <c r="J35" s="658"/>
      <c r="K35" s="627"/>
      <c r="L35" s="623"/>
      <c r="M35" s="664"/>
      <c r="N35" s="658"/>
      <c r="O35" s="627"/>
      <c r="P35" s="623"/>
      <c r="Q35" s="664"/>
      <c r="R35" s="658"/>
      <c r="S35" s="627"/>
      <c r="T35" s="623"/>
      <c r="U35" s="619"/>
      <c r="V35" s="620"/>
      <c r="W35" s="620"/>
      <c r="X35" s="621"/>
      <c r="Y35" s="664"/>
      <c r="Z35" s="662"/>
      <c r="AA35" s="631"/>
      <c r="AB35" s="656"/>
      <c r="AC35" s="664"/>
      <c r="AD35" s="658"/>
      <c r="AE35" s="627"/>
      <c r="AF35" s="623"/>
      <c r="AG35" s="664"/>
      <c r="AH35" s="660"/>
      <c r="AI35" s="629"/>
      <c r="AJ35" s="625"/>
      <c r="AK35" s="664"/>
      <c r="AL35" s="658"/>
      <c r="AM35" s="627"/>
      <c r="AN35" s="623"/>
      <c r="AO35" s="654"/>
      <c r="AP35" s="627"/>
      <c r="AQ35" s="627"/>
      <c r="AR35" s="652"/>
      <c r="AS35" s="648"/>
      <c r="AT35" s="646"/>
      <c r="AU35" s="642"/>
      <c r="AV35" s="637"/>
      <c r="AW35" s="637"/>
      <c r="AX35" s="637"/>
      <c r="AY35" s="635"/>
      <c r="AZ35" s="635"/>
      <c r="BA35" s="247"/>
    </row>
    <row r="36" spans="1:53" ht="17.25" customHeight="1" x14ac:dyDescent="0.4">
      <c r="A36" s="675" t="s">
        <v>79</v>
      </c>
      <c r="B36" s="676"/>
      <c r="C36" s="676"/>
      <c r="D36" s="677"/>
      <c r="E36" s="663" t="str">
        <f t="shared" si="81"/>
        <v/>
      </c>
      <c r="F36" s="657" t="str">
        <f>IF(AB26="","",AB26)</f>
        <v/>
      </c>
      <c r="G36" s="626" t="s">
        <v>30</v>
      </c>
      <c r="H36" s="622" t="str">
        <f>IF(Z26="","",Z26)</f>
        <v/>
      </c>
      <c r="I36" s="663" t="str">
        <f t="shared" ref="I36:I40" si="85">IF(OR(J36="",L36=""),"",IF(J36&gt;L36,"○",IF(J36&lt;L36,"×",IF(J36=L36,"△"))))</f>
        <v/>
      </c>
      <c r="J36" s="657" t="str">
        <f>IF(AB28="","",AB28)</f>
        <v/>
      </c>
      <c r="K36" s="626" t="s">
        <v>30</v>
      </c>
      <c r="L36" s="622" t="str">
        <f>IF(Z28="","",Z28)</f>
        <v/>
      </c>
      <c r="M36" s="663" t="str">
        <f t="shared" si="69"/>
        <v>×</v>
      </c>
      <c r="N36" s="657">
        <f>IF(AB30="","",AB30)</f>
        <v>0</v>
      </c>
      <c r="O36" s="626" t="s">
        <v>30</v>
      </c>
      <c r="P36" s="622">
        <f>IF(Z30="","",Z30)</f>
        <v>9</v>
      </c>
      <c r="Q36" s="663" t="str">
        <f t="shared" si="82"/>
        <v>×</v>
      </c>
      <c r="R36" s="657">
        <f>IF(AB32="","",AB32)</f>
        <v>0</v>
      </c>
      <c r="S36" s="626" t="s">
        <v>30</v>
      </c>
      <c r="T36" s="622">
        <f>IF(Z32="","",Z32)</f>
        <v>1</v>
      </c>
      <c r="U36" s="663" t="str">
        <f t="shared" ref="U36:U40" si="86">IF(OR(V36="",X36=""),"",IF(V36&gt;X36,"○",IF(V36&lt;X36,"×",IF(V36=X36,"△"))))</f>
        <v>△</v>
      </c>
      <c r="V36" s="657">
        <f>IF(AB34="","",AB34)</f>
        <v>0</v>
      </c>
      <c r="W36" s="626" t="s">
        <v>30</v>
      </c>
      <c r="X36" s="622">
        <f>IF(Z34="","",Z34)</f>
        <v>0</v>
      </c>
      <c r="Y36" s="616"/>
      <c r="Z36" s="617"/>
      <c r="AA36" s="617"/>
      <c r="AB36" s="618"/>
      <c r="AC36" s="663" t="str">
        <f t="shared" si="70"/>
        <v/>
      </c>
      <c r="AD36" s="657" t="str">
        <f>Ｂブロック対戦表!Q75</f>
        <v/>
      </c>
      <c r="AE36" s="626" t="s">
        <v>64</v>
      </c>
      <c r="AF36" s="622" t="str">
        <f>Ｂブロック対戦表!V75</f>
        <v/>
      </c>
      <c r="AG36" s="663" t="str">
        <f t="shared" si="71"/>
        <v/>
      </c>
      <c r="AH36" s="657" t="str">
        <f>Ｂブロック対戦表!Q114</f>
        <v/>
      </c>
      <c r="AI36" s="626" t="s">
        <v>30</v>
      </c>
      <c r="AJ36" s="622" t="str">
        <f>Ｂブロック対戦表!V114</f>
        <v/>
      </c>
      <c r="AK36" s="663" t="str">
        <f t="shared" si="72"/>
        <v>△</v>
      </c>
      <c r="AL36" s="659">
        <f>'Ａ＋Ｂブロック対戦表'!Q50</f>
        <v>1</v>
      </c>
      <c r="AM36" s="628" t="s">
        <v>30</v>
      </c>
      <c r="AN36" s="624">
        <f>'Ａ＋Ｂブロック対戦表'!V50</f>
        <v>1</v>
      </c>
      <c r="AO36" s="653"/>
      <c r="AP36" s="626"/>
      <c r="AQ36" s="626"/>
      <c r="AR36" s="651"/>
      <c r="AS36" s="647">
        <f t="shared" si="73"/>
        <v>4</v>
      </c>
      <c r="AT36" s="645">
        <f t="shared" si="74"/>
        <v>2</v>
      </c>
      <c r="AU36" s="641">
        <f t="shared" si="75"/>
        <v>0.16666666666666666</v>
      </c>
      <c r="AV36" s="634">
        <f t="shared" ref="AV36" si="87">AW36-SUM(H36,L36,P36,T36,X36,AB36,AF36,AJ36,AN36,AR36)</f>
        <v>-10</v>
      </c>
      <c r="AW36" s="634">
        <f t="shared" si="77"/>
        <v>1</v>
      </c>
      <c r="AX36" s="634">
        <f t="shared" si="78"/>
        <v>0.15667666666666666</v>
      </c>
      <c r="AY36" s="636">
        <f t="shared" ref="AY36" si="88">RANK(AX36,$AX$26:$AX$45)</f>
        <v>9</v>
      </c>
      <c r="AZ36" s="634">
        <f>RANK(AX36,$AX$4:$AX$87)</f>
        <v>34</v>
      </c>
      <c r="BA36" s="247"/>
    </row>
    <row r="37" spans="1:53" ht="17.25" customHeight="1" x14ac:dyDescent="0.4">
      <c r="A37" s="678" t="str">
        <f t="shared" ca="1" si="80"/>
        <v>雀宮ＦＣセカンド</v>
      </c>
      <c r="B37" s="679"/>
      <c r="C37" s="679"/>
      <c r="D37" s="680"/>
      <c r="E37" s="664"/>
      <c r="F37" s="658"/>
      <c r="G37" s="627"/>
      <c r="H37" s="623"/>
      <c r="I37" s="664"/>
      <c r="J37" s="658"/>
      <c r="K37" s="627"/>
      <c r="L37" s="623"/>
      <c r="M37" s="664"/>
      <c r="N37" s="658"/>
      <c r="O37" s="627"/>
      <c r="P37" s="623"/>
      <c r="Q37" s="664"/>
      <c r="R37" s="658"/>
      <c r="S37" s="627"/>
      <c r="T37" s="623"/>
      <c r="U37" s="664"/>
      <c r="V37" s="658"/>
      <c r="W37" s="627"/>
      <c r="X37" s="623"/>
      <c r="Y37" s="619"/>
      <c r="Z37" s="620"/>
      <c r="AA37" s="620"/>
      <c r="AB37" s="621"/>
      <c r="AC37" s="664"/>
      <c r="AD37" s="658"/>
      <c r="AE37" s="627"/>
      <c r="AF37" s="623"/>
      <c r="AG37" s="664"/>
      <c r="AH37" s="658"/>
      <c r="AI37" s="627"/>
      <c r="AJ37" s="623"/>
      <c r="AK37" s="664"/>
      <c r="AL37" s="660"/>
      <c r="AM37" s="629"/>
      <c r="AN37" s="625"/>
      <c r="AO37" s="654"/>
      <c r="AP37" s="627"/>
      <c r="AQ37" s="627"/>
      <c r="AR37" s="652"/>
      <c r="AS37" s="648"/>
      <c r="AT37" s="646"/>
      <c r="AU37" s="642"/>
      <c r="AV37" s="637"/>
      <c r="AW37" s="637"/>
      <c r="AX37" s="637"/>
      <c r="AY37" s="635"/>
      <c r="AZ37" s="635"/>
      <c r="BA37" s="247"/>
    </row>
    <row r="38" spans="1:53" ht="17.25" customHeight="1" x14ac:dyDescent="0.4">
      <c r="A38" s="675" t="s">
        <v>80</v>
      </c>
      <c r="B38" s="676"/>
      <c r="C38" s="676"/>
      <c r="D38" s="677"/>
      <c r="E38" s="663" t="str">
        <f t="shared" si="81"/>
        <v>○</v>
      </c>
      <c r="F38" s="657">
        <f>IF(AF26="","",AF26)</f>
        <v>3</v>
      </c>
      <c r="G38" s="626" t="s">
        <v>30</v>
      </c>
      <c r="H38" s="622">
        <f>IF(AD26="","",AD26)</f>
        <v>0</v>
      </c>
      <c r="I38" s="663" t="str">
        <f t="shared" si="85"/>
        <v/>
      </c>
      <c r="J38" s="657" t="str">
        <f>IF(AF28="","",AF28)</f>
        <v/>
      </c>
      <c r="K38" s="626" t="s">
        <v>30</v>
      </c>
      <c r="L38" s="622" t="str">
        <f>IF(AD28="","",AD28)</f>
        <v/>
      </c>
      <c r="M38" s="663" t="str">
        <f t="shared" ref="M38:M42" si="89">IF(OR(N38="",P38=""),"",IF(N38&gt;P38,"○",IF(N38&lt;P38,"×",IF(N38=P38,"△"))))</f>
        <v/>
      </c>
      <c r="N38" s="657" t="str">
        <f>IF(AF30="","",AF30)</f>
        <v/>
      </c>
      <c r="O38" s="626" t="s">
        <v>30</v>
      </c>
      <c r="P38" s="622" t="str">
        <f>IF(AD30="","",AD30)</f>
        <v/>
      </c>
      <c r="Q38" s="663" t="str">
        <f t="shared" si="82"/>
        <v>○</v>
      </c>
      <c r="R38" s="657">
        <f>IF(AF32="","",AF32)</f>
        <v>7</v>
      </c>
      <c r="S38" s="626" t="s">
        <v>30</v>
      </c>
      <c r="T38" s="622">
        <f>IF(AD32="","",AD32)</f>
        <v>0</v>
      </c>
      <c r="U38" s="663" t="str">
        <f t="shared" si="86"/>
        <v/>
      </c>
      <c r="V38" s="657" t="str">
        <f>IF(AF34="","",AF34)</f>
        <v/>
      </c>
      <c r="W38" s="626" t="s">
        <v>30</v>
      </c>
      <c r="X38" s="622" t="str">
        <f>IF(AD34="","",AD34)</f>
        <v/>
      </c>
      <c r="Y38" s="663" t="str">
        <f t="shared" ref="Y38:Y42" si="90">IF(OR(Z38="",AB38=""),"",IF(Z38&gt;AB38,"○",IF(Z38&lt;AB38,"×",IF(Z38=AB38,"△"))))</f>
        <v/>
      </c>
      <c r="Z38" s="657" t="str">
        <f>IF(AF36="","",AF36)</f>
        <v/>
      </c>
      <c r="AA38" s="626" t="s">
        <v>30</v>
      </c>
      <c r="AB38" s="622" t="str">
        <f>IF(AD36="","",AD36)</f>
        <v/>
      </c>
      <c r="AC38" s="616"/>
      <c r="AD38" s="617"/>
      <c r="AE38" s="617"/>
      <c r="AF38" s="618"/>
      <c r="AG38" s="663" t="str">
        <f>IF(OR(AH38="",AJ38=""),"",IF(AH38&gt;AJ38,"○",IF(AH38&lt;AJ38,"×",IF(AH38=AJ38,"△"))))</f>
        <v>○</v>
      </c>
      <c r="AH38" s="661">
        <f>'Ａ＋Ｂブロック対戦表'!Q15</f>
        <v>14</v>
      </c>
      <c r="AI38" s="630" t="s">
        <v>64</v>
      </c>
      <c r="AJ38" s="655">
        <f>'Ａ＋Ｂブロック対戦表'!V15</f>
        <v>0</v>
      </c>
      <c r="AK38" s="663" t="str">
        <f>IF(OR(AL38="",AN38=""),"",IF(AL38&gt;AN38,"○",IF(AL38&lt;AN38,"×",IF(AL38=AN38,"△"))))</f>
        <v>○</v>
      </c>
      <c r="AL38" s="661">
        <f>'Ａ＋Ｂブロック対戦表'!V19</f>
        <v>5</v>
      </c>
      <c r="AM38" s="630" t="s">
        <v>30</v>
      </c>
      <c r="AN38" s="655">
        <f>'Ａ＋Ｂブロック対戦表'!Q19</f>
        <v>0</v>
      </c>
      <c r="AO38" s="653"/>
      <c r="AP38" s="626"/>
      <c r="AQ38" s="626"/>
      <c r="AR38" s="651"/>
      <c r="AS38" s="647">
        <f t="shared" ref="AS38:AS42" si="91">COUNTIF(E38:AR39,"○")+COUNTIF(E38:AR39,"×")+COUNTIF(E38:AR39,"△")</f>
        <v>4</v>
      </c>
      <c r="AT38" s="645">
        <f t="shared" ref="AT38:AT42" si="92">COUNTIF(E38:AR39,"○")*3+COUNTIF(E38:AR39,"△")</f>
        <v>12</v>
      </c>
      <c r="AU38" s="641">
        <f t="shared" ref="AU38:AU42" si="93">IF(AS38=0,0,AT38/(AS38*3))</f>
        <v>1</v>
      </c>
      <c r="AV38" s="634">
        <f t="shared" ref="AV38" si="94">AW38-SUM(H38,L38,P38,T38,X38,AB38,AF38,AJ38,AN38,AR38)</f>
        <v>29</v>
      </c>
      <c r="AW38" s="634">
        <f t="shared" ref="AW38:AW42" si="95">SUM(F38,J38,N38,R38,V38,Z38,AD38,AH38,AL38,AP38)</f>
        <v>29</v>
      </c>
      <c r="AX38" s="634">
        <f t="shared" ref="AX38:AX42" si="96">AU38+AV38*0.001+AW38*0.00001</f>
        <v>1.0292899999999998</v>
      </c>
      <c r="AY38" s="636">
        <f t="shared" ref="AY38" si="97">RANK(AX38,$AX$26:$AX$45)</f>
        <v>1</v>
      </c>
      <c r="AZ38" s="634">
        <f>RANK(AX38,$AX$4:$AX$87)</f>
        <v>1</v>
      </c>
      <c r="BA38" s="247"/>
    </row>
    <row r="39" spans="1:53" ht="17.25" customHeight="1" x14ac:dyDescent="0.4">
      <c r="A39" s="678" t="str">
        <f t="shared" ref="A39:A43" ca="1" si="98">INDIRECT("U12組合せ!f"&amp;(ROW()-1)/2+1)</f>
        <v>ともぞうＳＣ</v>
      </c>
      <c r="B39" s="679"/>
      <c r="C39" s="679"/>
      <c r="D39" s="680"/>
      <c r="E39" s="664"/>
      <c r="F39" s="658"/>
      <c r="G39" s="627"/>
      <c r="H39" s="623"/>
      <c r="I39" s="664"/>
      <c r="J39" s="658"/>
      <c r="K39" s="627"/>
      <c r="L39" s="623"/>
      <c r="M39" s="664"/>
      <c r="N39" s="658"/>
      <c r="O39" s="627"/>
      <c r="P39" s="623"/>
      <c r="Q39" s="664"/>
      <c r="R39" s="658"/>
      <c r="S39" s="627"/>
      <c r="T39" s="623"/>
      <c r="U39" s="664"/>
      <c r="V39" s="658"/>
      <c r="W39" s="627"/>
      <c r="X39" s="623"/>
      <c r="Y39" s="664"/>
      <c r="Z39" s="658"/>
      <c r="AA39" s="627"/>
      <c r="AB39" s="623"/>
      <c r="AC39" s="619"/>
      <c r="AD39" s="620"/>
      <c r="AE39" s="620"/>
      <c r="AF39" s="621"/>
      <c r="AG39" s="664"/>
      <c r="AH39" s="662"/>
      <c r="AI39" s="631"/>
      <c r="AJ39" s="656"/>
      <c r="AK39" s="664"/>
      <c r="AL39" s="662"/>
      <c r="AM39" s="631"/>
      <c r="AN39" s="656"/>
      <c r="AO39" s="654"/>
      <c r="AP39" s="627"/>
      <c r="AQ39" s="627"/>
      <c r="AR39" s="652"/>
      <c r="AS39" s="648"/>
      <c r="AT39" s="646"/>
      <c r="AU39" s="642"/>
      <c r="AV39" s="637"/>
      <c r="AW39" s="637"/>
      <c r="AX39" s="637"/>
      <c r="AY39" s="635"/>
      <c r="AZ39" s="635"/>
      <c r="BA39" s="247"/>
    </row>
    <row r="40" spans="1:53" ht="17.25" customHeight="1" x14ac:dyDescent="0.4">
      <c r="A40" s="675" t="s">
        <v>81</v>
      </c>
      <c r="B40" s="676"/>
      <c r="C40" s="676"/>
      <c r="D40" s="677"/>
      <c r="E40" s="663" t="str">
        <f>IF(OR(F40="",H40=""),"",IF(F40&gt;H40,"○",IF(F40&lt;H40,"×",IF(F40=H40,"△"))))</f>
        <v/>
      </c>
      <c r="F40" s="657" t="str">
        <f>IF(AJ26="","",AJ26)</f>
        <v/>
      </c>
      <c r="G40" s="626" t="s">
        <v>30</v>
      </c>
      <c r="H40" s="622" t="str">
        <f>IF(AH26="","",AH26)</f>
        <v/>
      </c>
      <c r="I40" s="663" t="str">
        <f t="shared" si="85"/>
        <v>×</v>
      </c>
      <c r="J40" s="657">
        <f>IF(AJ28="","",AJ28)</f>
        <v>1</v>
      </c>
      <c r="K40" s="626" t="s">
        <v>30</v>
      </c>
      <c r="L40" s="622">
        <f>IF(AH28="","",AH28)</f>
        <v>2</v>
      </c>
      <c r="M40" s="663" t="str">
        <f t="shared" si="89"/>
        <v/>
      </c>
      <c r="N40" s="657" t="str">
        <f>IF(AJ30="","",AJ30)</f>
        <v/>
      </c>
      <c r="O40" s="626" t="s">
        <v>30</v>
      </c>
      <c r="P40" s="622" t="str">
        <f>IF(AH30="","",AH30)</f>
        <v/>
      </c>
      <c r="Q40" s="663" t="str">
        <f t="shared" ref="Q40:Q44" si="99">IF(OR(R40="",T40=""),"",IF(R40&gt;T40,"○",IF(R40&lt;T40,"×",IF(R40=T40,"△"))))</f>
        <v/>
      </c>
      <c r="R40" s="657" t="str">
        <f>IF(AJ32="","",AJ32)</f>
        <v/>
      </c>
      <c r="S40" s="626" t="s">
        <v>30</v>
      </c>
      <c r="T40" s="622" t="str">
        <f>IF(AH32="","",AH32)</f>
        <v/>
      </c>
      <c r="U40" s="663" t="str">
        <f t="shared" si="86"/>
        <v>○</v>
      </c>
      <c r="V40" s="657">
        <f>IF(AJ34="","",AJ34)</f>
        <v>5</v>
      </c>
      <c r="W40" s="626" t="s">
        <v>30</v>
      </c>
      <c r="X40" s="622">
        <f>IF(AH34="","",AH34)</f>
        <v>3</v>
      </c>
      <c r="Y40" s="663" t="str">
        <f t="shared" si="90"/>
        <v/>
      </c>
      <c r="Z40" s="657" t="str">
        <f>IF(AJ36="","",AJ36)</f>
        <v/>
      </c>
      <c r="AA40" s="626" t="s">
        <v>30</v>
      </c>
      <c r="AB40" s="622" t="str">
        <f>IF(AH36="","",AH36)</f>
        <v/>
      </c>
      <c r="AC40" s="663" t="str">
        <f t="shared" ref="AC40:AC44" si="100">IF(OR(AD40="",AF40=""),"",IF(AD40&gt;AF40,"○",IF(AD40&lt;AF40,"×",IF(AD40=AF40,"△"))))</f>
        <v>×</v>
      </c>
      <c r="AD40" s="657">
        <f>IF(AJ38="","",AJ38)</f>
        <v>0</v>
      </c>
      <c r="AE40" s="626" t="s">
        <v>30</v>
      </c>
      <c r="AF40" s="622">
        <f>IF(AH38="","",AH38)</f>
        <v>14</v>
      </c>
      <c r="AG40" s="616"/>
      <c r="AH40" s="617"/>
      <c r="AI40" s="617"/>
      <c r="AJ40" s="618"/>
      <c r="AK40" s="663" t="str">
        <f>IF(OR(AL40="",AN40=""),"",IF(AL40&gt;AN40,"○",IF(AL40&lt;AN40,"×",IF(AL40=AN40,"△"))))</f>
        <v>×</v>
      </c>
      <c r="AL40" s="661">
        <f>'Ａ＋Ｂブロック対戦表'!Q23</f>
        <v>0</v>
      </c>
      <c r="AM40" s="630" t="s">
        <v>64</v>
      </c>
      <c r="AN40" s="655">
        <f>'Ａ＋Ｂブロック対戦表'!V23</f>
        <v>3</v>
      </c>
      <c r="AO40" s="653"/>
      <c r="AP40" s="626"/>
      <c r="AQ40" s="626"/>
      <c r="AR40" s="651"/>
      <c r="AS40" s="647">
        <f t="shared" si="91"/>
        <v>4</v>
      </c>
      <c r="AT40" s="645">
        <f t="shared" si="92"/>
        <v>3</v>
      </c>
      <c r="AU40" s="641">
        <f t="shared" si="93"/>
        <v>0.25</v>
      </c>
      <c r="AV40" s="634">
        <f t="shared" ref="AV40" si="101">AW40-SUM(H40,L40,P40,T40,X40,AB40,AF40,AJ40,AN40,AR40)</f>
        <v>-16</v>
      </c>
      <c r="AW40" s="634">
        <f t="shared" si="95"/>
        <v>6</v>
      </c>
      <c r="AX40" s="634">
        <f t="shared" si="96"/>
        <v>0.23405999999999999</v>
      </c>
      <c r="AY40" s="636">
        <f t="shared" ref="AY40" si="102">RANK(AX40,$AX$26:$AX$45)</f>
        <v>8</v>
      </c>
      <c r="AZ40" s="634">
        <f>RANK(AX40,$AX$4:$AX$87)</f>
        <v>30</v>
      </c>
      <c r="BA40" s="247"/>
    </row>
    <row r="41" spans="1:53" ht="17.25" customHeight="1" x14ac:dyDescent="0.4">
      <c r="A41" s="678" t="str">
        <f t="shared" ca="1" si="98"/>
        <v>FCブロケード・陽東U11</v>
      </c>
      <c r="B41" s="679"/>
      <c r="C41" s="679"/>
      <c r="D41" s="680"/>
      <c r="E41" s="664"/>
      <c r="F41" s="658"/>
      <c r="G41" s="627"/>
      <c r="H41" s="623"/>
      <c r="I41" s="664"/>
      <c r="J41" s="658"/>
      <c r="K41" s="627"/>
      <c r="L41" s="623"/>
      <c r="M41" s="664"/>
      <c r="N41" s="658"/>
      <c r="O41" s="627"/>
      <c r="P41" s="623"/>
      <c r="Q41" s="664"/>
      <c r="R41" s="658"/>
      <c r="S41" s="627"/>
      <c r="T41" s="623"/>
      <c r="U41" s="664"/>
      <c r="V41" s="658"/>
      <c r="W41" s="627"/>
      <c r="X41" s="623"/>
      <c r="Y41" s="664"/>
      <c r="Z41" s="658"/>
      <c r="AA41" s="627"/>
      <c r="AB41" s="623"/>
      <c r="AC41" s="664"/>
      <c r="AD41" s="658"/>
      <c r="AE41" s="627"/>
      <c r="AF41" s="623"/>
      <c r="AG41" s="619"/>
      <c r="AH41" s="620"/>
      <c r="AI41" s="620"/>
      <c r="AJ41" s="621"/>
      <c r="AK41" s="664"/>
      <c r="AL41" s="662"/>
      <c r="AM41" s="631"/>
      <c r="AN41" s="656"/>
      <c r="AO41" s="654"/>
      <c r="AP41" s="627"/>
      <c r="AQ41" s="627"/>
      <c r="AR41" s="652"/>
      <c r="AS41" s="648"/>
      <c r="AT41" s="646"/>
      <c r="AU41" s="642"/>
      <c r="AV41" s="637"/>
      <c r="AW41" s="637"/>
      <c r="AX41" s="637"/>
      <c r="AY41" s="635"/>
      <c r="AZ41" s="635"/>
      <c r="BA41" s="247"/>
    </row>
    <row r="42" spans="1:53" ht="17.25" customHeight="1" x14ac:dyDescent="0.4">
      <c r="A42" s="675" t="s">
        <v>82</v>
      </c>
      <c r="B42" s="676"/>
      <c r="C42" s="676"/>
      <c r="D42" s="677"/>
      <c r="E42" s="663" t="str">
        <f>IF(OR(F42="",H42=""),"",IF(F42&gt;H42,"○",IF(F42&lt;H42,"×",IF(F42=H42,"△"))))</f>
        <v/>
      </c>
      <c r="F42" s="657" t="str">
        <f>IF(AN26="","",AN26)</f>
        <v/>
      </c>
      <c r="G42" s="626" t="s">
        <v>30</v>
      </c>
      <c r="H42" s="622" t="str">
        <f>IF(AL26="","",AL26)</f>
        <v/>
      </c>
      <c r="I42" s="663" t="str">
        <f>IF(OR(J42="",L42=""),"",IF(J42&gt;L42,"○",IF(J42&lt;L42,"×",IF(J42=L42,"△"))))</f>
        <v/>
      </c>
      <c r="J42" s="657" t="str">
        <f>IF(AN28="","",AN28)</f>
        <v/>
      </c>
      <c r="K42" s="626" t="s">
        <v>30</v>
      </c>
      <c r="L42" s="622" t="str">
        <f>IF(AL28="","",AL28)</f>
        <v/>
      </c>
      <c r="M42" s="663" t="str">
        <f t="shared" si="89"/>
        <v>×</v>
      </c>
      <c r="N42" s="657">
        <f>IF(AN30="","",AN30)</f>
        <v>0</v>
      </c>
      <c r="O42" s="626" t="s">
        <v>30</v>
      </c>
      <c r="P42" s="622">
        <f>IF(AL30="","",AL30)</f>
        <v>1</v>
      </c>
      <c r="Q42" s="663" t="str">
        <f t="shared" si="99"/>
        <v/>
      </c>
      <c r="R42" s="657" t="str">
        <f>IF(AN32="","",AN32)</f>
        <v/>
      </c>
      <c r="S42" s="626" t="s">
        <v>30</v>
      </c>
      <c r="T42" s="622" t="str">
        <f>IF(AL32="","",AL32)</f>
        <v/>
      </c>
      <c r="U42" s="663" t="str">
        <f>IF(OR(V42="",X42=""),"",IF(V42&gt;X42,"○",IF(V42&lt;X42,"×",IF(V42=X42,"△"))))</f>
        <v/>
      </c>
      <c r="V42" s="657" t="str">
        <f>IF(AN34="","",AN34)</f>
        <v/>
      </c>
      <c r="W42" s="626" t="s">
        <v>30</v>
      </c>
      <c r="X42" s="622" t="str">
        <f>IF(AL34="","",AL34)</f>
        <v/>
      </c>
      <c r="Y42" s="663" t="str">
        <f t="shared" si="90"/>
        <v>△</v>
      </c>
      <c r="Z42" s="657">
        <f>IF(AN36="","",AN36)</f>
        <v>1</v>
      </c>
      <c r="AA42" s="626" t="s">
        <v>30</v>
      </c>
      <c r="AB42" s="622">
        <f>IF(AL36="","",AL36)</f>
        <v>1</v>
      </c>
      <c r="AC42" s="663" t="str">
        <f t="shared" si="100"/>
        <v>×</v>
      </c>
      <c r="AD42" s="657">
        <f>IF(AN38="","",AN38)</f>
        <v>0</v>
      </c>
      <c r="AE42" s="626" t="s">
        <v>30</v>
      </c>
      <c r="AF42" s="622">
        <f>IF(AL38="","",AL38)</f>
        <v>5</v>
      </c>
      <c r="AG42" s="663" t="str">
        <f>IF(OR(AH42="",AJ42=""),"",IF(AH42&gt;AJ42,"○",IF(AH42&lt;AJ42,"×",IF(AH42=AJ42,"△"))))</f>
        <v>○</v>
      </c>
      <c r="AH42" s="657">
        <f>IF(AN40="","",AN40)</f>
        <v>3</v>
      </c>
      <c r="AI42" s="626" t="s">
        <v>30</v>
      </c>
      <c r="AJ42" s="622">
        <f>IF(AL40="","",AL40)</f>
        <v>0</v>
      </c>
      <c r="AK42" s="616"/>
      <c r="AL42" s="617"/>
      <c r="AM42" s="617"/>
      <c r="AN42" s="618"/>
      <c r="AO42" s="653"/>
      <c r="AP42" s="626"/>
      <c r="AQ42" s="626"/>
      <c r="AR42" s="651"/>
      <c r="AS42" s="647">
        <f t="shared" si="91"/>
        <v>4</v>
      </c>
      <c r="AT42" s="645">
        <f t="shared" si="92"/>
        <v>4</v>
      </c>
      <c r="AU42" s="641">
        <f t="shared" si="93"/>
        <v>0.33333333333333331</v>
      </c>
      <c r="AV42" s="634">
        <f t="shared" ref="AV42" si="103">AW42-SUM(H42,L42,P42,T42,X42,AB42,AF42,AJ42,AN42,AR42)</f>
        <v>-3</v>
      </c>
      <c r="AW42" s="634">
        <f t="shared" si="95"/>
        <v>4</v>
      </c>
      <c r="AX42" s="634">
        <f t="shared" si="96"/>
        <v>0.3303733333333333</v>
      </c>
      <c r="AY42" s="636">
        <f t="shared" ref="AY42" si="104">RANK(AX42,$AX$26:$AX$45)</f>
        <v>4</v>
      </c>
      <c r="AZ42" s="634">
        <f>RANK(AX42,$AX$4:$AX$87)</f>
        <v>22</v>
      </c>
      <c r="BA42" s="247"/>
    </row>
    <row r="43" spans="1:53" ht="17.25" customHeight="1" x14ac:dyDescent="0.4">
      <c r="A43" s="678" t="str">
        <f t="shared" ca="1" si="98"/>
        <v>上三川ＳＣ</v>
      </c>
      <c r="B43" s="679"/>
      <c r="C43" s="679"/>
      <c r="D43" s="680"/>
      <c r="E43" s="664"/>
      <c r="F43" s="658"/>
      <c r="G43" s="627"/>
      <c r="H43" s="623"/>
      <c r="I43" s="664"/>
      <c r="J43" s="658"/>
      <c r="K43" s="627"/>
      <c r="L43" s="623"/>
      <c r="M43" s="664"/>
      <c r="N43" s="658"/>
      <c r="O43" s="627"/>
      <c r="P43" s="623"/>
      <c r="Q43" s="664"/>
      <c r="R43" s="658"/>
      <c r="S43" s="627"/>
      <c r="T43" s="623"/>
      <c r="U43" s="664"/>
      <c r="V43" s="658"/>
      <c r="W43" s="627"/>
      <c r="X43" s="623"/>
      <c r="Y43" s="664"/>
      <c r="Z43" s="658"/>
      <c r="AA43" s="627"/>
      <c r="AB43" s="623"/>
      <c r="AC43" s="664"/>
      <c r="AD43" s="658"/>
      <c r="AE43" s="627"/>
      <c r="AF43" s="623"/>
      <c r="AG43" s="664"/>
      <c r="AH43" s="658"/>
      <c r="AI43" s="627"/>
      <c r="AJ43" s="623"/>
      <c r="AK43" s="619"/>
      <c r="AL43" s="620"/>
      <c r="AM43" s="620"/>
      <c r="AN43" s="621"/>
      <c r="AO43" s="654"/>
      <c r="AP43" s="627"/>
      <c r="AQ43" s="627"/>
      <c r="AR43" s="652"/>
      <c r="AS43" s="648"/>
      <c r="AT43" s="646"/>
      <c r="AU43" s="642"/>
      <c r="AV43" s="637"/>
      <c r="AW43" s="637"/>
      <c r="AX43" s="637"/>
      <c r="AY43" s="635"/>
      <c r="AZ43" s="635"/>
      <c r="BA43" s="247"/>
    </row>
    <row r="44" spans="1:53" ht="17.25" hidden="1" customHeight="1" x14ac:dyDescent="0.4">
      <c r="A44" s="675" t="s">
        <v>24</v>
      </c>
      <c r="B44" s="676"/>
      <c r="C44" s="676"/>
      <c r="D44" s="677"/>
      <c r="E44" s="669" t="str">
        <f>IF(OR(F44="",H44=""),"",IF(F44&gt;H44,"○",IF(F44&lt;$H44,"×",IF(F44=H44,"△"))))</f>
        <v/>
      </c>
      <c r="F44" s="667" t="str">
        <f>IF(AR26="","",AR26)</f>
        <v/>
      </c>
      <c r="G44" s="665" t="s">
        <v>30</v>
      </c>
      <c r="H44" s="632" t="str">
        <f>IF(AP26="","",AP26)</f>
        <v/>
      </c>
      <c r="I44" s="669" t="str">
        <f>IF(OR(J44="",L44=""),"",IF(J44&gt;L44,"○",IF(J44&lt;L44,"×",IF(J44=L44,"△"))))</f>
        <v/>
      </c>
      <c r="J44" s="667" t="str">
        <f>IF(AR28="","",AR28)</f>
        <v/>
      </c>
      <c r="K44" s="665" t="s">
        <v>30</v>
      </c>
      <c r="L44" s="632" t="str">
        <f>IF(AP28="","",AP28)</f>
        <v/>
      </c>
      <c r="M44" s="669" t="str">
        <f>IF(OR(N44="",P44=""),"",IF(N44&gt;P44,"○",IF(N44&lt;P44,"×",IF(N44=P44,"△"))))</f>
        <v/>
      </c>
      <c r="N44" s="667" t="str">
        <f>IF(AR30="","",AR30)</f>
        <v/>
      </c>
      <c r="O44" s="665" t="s">
        <v>30</v>
      </c>
      <c r="P44" s="632" t="str">
        <f>IF(AP30="","",AP30)</f>
        <v/>
      </c>
      <c r="Q44" s="669" t="str">
        <f t="shared" si="99"/>
        <v/>
      </c>
      <c r="R44" s="667" t="str">
        <f>IF(AR32="","",AR32)</f>
        <v/>
      </c>
      <c r="S44" s="665" t="s">
        <v>30</v>
      </c>
      <c r="T44" s="632" t="str">
        <f>IF(AP32="","",AP32)</f>
        <v/>
      </c>
      <c r="U44" s="669" t="str">
        <f>IF(OR(V44="",X44=""),"",IF(V44&gt;X44,"○",IF(V44&lt;X44,"×",IF(V44=X44,"△"))))</f>
        <v/>
      </c>
      <c r="V44" s="667" t="str">
        <f>IF(AR34="","",AR34)</f>
        <v/>
      </c>
      <c r="W44" s="665" t="s">
        <v>30</v>
      </c>
      <c r="X44" s="632" t="str">
        <f>IF(AP34="","",AP34)</f>
        <v/>
      </c>
      <c r="Y44" s="669" t="str">
        <f>IF(OR(Z44="",AB44=""),"",IF(Z44&gt;AB44,"○",IF(Z44&lt;AB44,"×",IF(Z44=AB44,"△"))))</f>
        <v/>
      </c>
      <c r="Z44" s="667" t="str">
        <f>IF(AR36="","",AR36)</f>
        <v/>
      </c>
      <c r="AA44" s="665" t="s">
        <v>30</v>
      </c>
      <c r="AB44" s="632" t="str">
        <f>IF(AP36="","",AP36)</f>
        <v/>
      </c>
      <c r="AC44" s="669" t="str">
        <f t="shared" si="100"/>
        <v/>
      </c>
      <c r="AD44" s="667" t="str">
        <f>IF(AR38="","",AR38)</f>
        <v/>
      </c>
      <c r="AE44" s="665" t="s">
        <v>30</v>
      </c>
      <c r="AF44" s="632" t="str">
        <f>IF(AP38="","",AP38)</f>
        <v/>
      </c>
      <c r="AG44" s="669" t="str">
        <f>IF(OR(AH44="",AJ44=""),"",IF(AH44&gt;AJ44,"○",IF(AH44&lt;AJ44,"×",IF(AH44=AJ44,"△"))))</f>
        <v/>
      </c>
      <c r="AH44" s="667" t="str">
        <f>IF(AR40="","",AR40)</f>
        <v/>
      </c>
      <c r="AI44" s="665" t="s">
        <v>30</v>
      </c>
      <c r="AJ44" s="632" t="str">
        <f>IF(AP40="","",AP40)</f>
        <v/>
      </c>
      <c r="AK44" s="669" t="str">
        <f>IF(OR(AL44="",AN44=""),"",IF(AL44&gt;AN44,"○",IF(AL44&lt;AN44,"×",IF(AL44=AN44,"△"))))</f>
        <v/>
      </c>
      <c r="AL44" s="667" t="str">
        <f>IF(AR42="","",AR42)</f>
        <v/>
      </c>
      <c r="AM44" s="665" t="s">
        <v>30</v>
      </c>
      <c r="AN44" s="632" t="str">
        <f>IF(AP42="","",AP42)</f>
        <v/>
      </c>
      <c r="AO44" s="248"/>
      <c r="AP44" s="155"/>
      <c r="AQ44" s="155"/>
      <c r="AR44" s="155"/>
      <c r="AS44" s="647">
        <f>COUNTIF(E44:AR45,"○")+COUNTIF(E44:AR45,"×")+COUNTIF(E44:AR45,"△")</f>
        <v>0</v>
      </c>
      <c r="AT44" s="645">
        <f>COUNTIF(E44:AR45,"○")*3+COUNTIF(E44:AR45,"△")</f>
        <v>0</v>
      </c>
      <c r="AU44" s="641">
        <f>IF(AS44=0,0,AT44/(AS44*3))</f>
        <v>0</v>
      </c>
      <c r="AV44" s="634">
        <f t="shared" ref="AV44" si="105">AW44-SUM(H44,L44,P44,T44,X44,AB44,AF44,AJ44,AN44,AR44)</f>
        <v>0</v>
      </c>
      <c r="AW44" s="634">
        <f>SUM(F44,J44,N44,R44,V44,Z44,AD44,AH44,AL44,AP44)</f>
        <v>0</v>
      </c>
      <c r="AX44" s="634">
        <f>AU44+AV44*0.001+AW44*0.00001</f>
        <v>0</v>
      </c>
      <c r="AY44" s="636">
        <f t="shared" ref="AY44" si="106">RANK(AX44,$AX$26:$AX$45)</f>
        <v>10</v>
      </c>
      <c r="AZ44" s="634">
        <f>RANK(AX44,$AX$4:$AX$87)</f>
        <v>35</v>
      </c>
      <c r="BA44" s="247"/>
    </row>
    <row r="45" spans="1:53" ht="17.25" hidden="1" customHeight="1" x14ac:dyDescent="0.4">
      <c r="A45" s="683">
        <f ca="1">INDIRECT("U12組合せ!f"&amp;(ROW()-1)/2+1)</f>
        <v>0</v>
      </c>
      <c r="B45" s="684"/>
      <c r="C45" s="684"/>
      <c r="D45" s="685"/>
      <c r="E45" s="670"/>
      <c r="F45" s="668"/>
      <c r="G45" s="666"/>
      <c r="H45" s="633"/>
      <c r="I45" s="670"/>
      <c r="J45" s="668"/>
      <c r="K45" s="666"/>
      <c r="L45" s="633"/>
      <c r="M45" s="670"/>
      <c r="N45" s="668"/>
      <c r="O45" s="666"/>
      <c r="P45" s="633"/>
      <c r="Q45" s="670"/>
      <c r="R45" s="668"/>
      <c r="S45" s="666"/>
      <c r="T45" s="633"/>
      <c r="U45" s="670"/>
      <c r="V45" s="668"/>
      <c r="W45" s="666"/>
      <c r="X45" s="633"/>
      <c r="Y45" s="670"/>
      <c r="Z45" s="668"/>
      <c r="AA45" s="666"/>
      <c r="AB45" s="633"/>
      <c r="AC45" s="670"/>
      <c r="AD45" s="668"/>
      <c r="AE45" s="666"/>
      <c r="AF45" s="633"/>
      <c r="AG45" s="670"/>
      <c r="AH45" s="668"/>
      <c r="AI45" s="666"/>
      <c r="AJ45" s="633"/>
      <c r="AK45" s="670"/>
      <c r="AL45" s="668"/>
      <c r="AM45" s="666"/>
      <c r="AN45" s="633"/>
      <c r="AO45" s="156"/>
      <c r="AP45" s="156"/>
      <c r="AQ45" s="156"/>
      <c r="AR45" s="156"/>
      <c r="AS45" s="648"/>
      <c r="AT45" s="646"/>
      <c r="AU45" s="642"/>
      <c r="AV45" s="638"/>
      <c r="AW45" s="638"/>
      <c r="AX45" s="638"/>
      <c r="AY45" s="635"/>
      <c r="AZ45" s="635"/>
      <c r="BA45" s="247"/>
    </row>
    <row r="46" spans="1:53" x14ac:dyDescent="0.4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252"/>
      <c r="AV46" s="252"/>
      <c r="AW46" s="252"/>
      <c r="AX46" s="252"/>
      <c r="AY46" s="252"/>
      <c r="AZ46" s="251"/>
    </row>
    <row r="47" spans="1:53" ht="27" customHeight="1" x14ac:dyDescent="0.4">
      <c r="A47" s="686" t="s">
        <v>544</v>
      </c>
      <c r="B47" s="686"/>
      <c r="C47" s="686"/>
      <c r="D47" s="686"/>
      <c r="E47" s="686"/>
      <c r="F47" s="686"/>
      <c r="G47" s="686"/>
      <c r="H47" s="686"/>
      <c r="I47" s="686"/>
      <c r="J47" s="686"/>
      <c r="K47" s="686"/>
      <c r="L47" s="686"/>
      <c r="M47" s="686"/>
      <c r="N47" s="686"/>
      <c r="O47" s="686"/>
      <c r="P47" s="686"/>
      <c r="Q47" s="686"/>
      <c r="R47" s="686"/>
      <c r="S47" s="686"/>
      <c r="T47" s="686"/>
      <c r="U47" s="686"/>
      <c r="V47" s="686"/>
      <c r="W47" s="686"/>
      <c r="X47" s="686"/>
      <c r="Y47" s="686"/>
      <c r="Z47" s="686"/>
      <c r="AA47" s="686"/>
      <c r="AB47" s="686"/>
      <c r="AC47" s="686"/>
      <c r="AD47" s="686"/>
      <c r="AE47" s="686"/>
      <c r="AF47" s="686"/>
      <c r="AG47" s="686"/>
      <c r="AH47" s="686"/>
      <c r="AI47" s="686"/>
      <c r="AJ47" s="686"/>
      <c r="AK47" s="686"/>
      <c r="AL47" s="686"/>
      <c r="AM47" s="686"/>
      <c r="AN47" s="686"/>
      <c r="AO47" s="686"/>
      <c r="AP47" s="686"/>
      <c r="AQ47" s="686"/>
      <c r="AR47" s="686"/>
      <c r="AS47" s="686"/>
      <c r="AT47" s="686"/>
      <c r="AU47" s="687"/>
      <c r="AV47" s="687"/>
      <c r="AW47" s="687"/>
      <c r="AX47" s="687"/>
      <c r="AY47" s="687"/>
      <c r="AZ47" s="687"/>
      <c r="BA47" s="238"/>
    </row>
    <row r="48" spans="1:53" ht="21" customHeight="1" x14ac:dyDescent="0.4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252"/>
      <c r="AV48" s="252"/>
      <c r="AW48" s="252"/>
      <c r="AX48" s="252"/>
      <c r="AY48" s="252"/>
      <c r="AZ48" s="251"/>
    </row>
    <row r="49" spans="1:53" x14ac:dyDescent="0.4">
      <c r="A49" s="688" t="s">
        <v>83</v>
      </c>
      <c r="B49" s="689"/>
      <c r="C49" s="689"/>
      <c r="D49" s="690"/>
      <c r="E49" s="688" t="str">
        <f ca="1">A51</f>
        <v>清原ＳＳＳ</v>
      </c>
      <c r="F49" s="689"/>
      <c r="G49" s="689"/>
      <c r="H49" s="690"/>
      <c r="I49" s="688" t="str">
        <f ca="1">A53</f>
        <v>ＦＣグランディール</v>
      </c>
      <c r="J49" s="689"/>
      <c r="K49" s="689"/>
      <c r="L49" s="690"/>
      <c r="M49" s="688" t="str">
        <f ca="1">A55</f>
        <v>ＦＣブロケード</v>
      </c>
      <c r="N49" s="689"/>
      <c r="O49" s="689"/>
      <c r="P49" s="690"/>
      <c r="Q49" s="688" t="str">
        <f ca="1">A57</f>
        <v>緑が丘ＹＦＣ</v>
      </c>
      <c r="R49" s="689"/>
      <c r="S49" s="689"/>
      <c r="T49" s="690"/>
      <c r="U49" s="688" t="str">
        <f ca="1">A59</f>
        <v>ともぞうＳＣ U12</v>
      </c>
      <c r="V49" s="689"/>
      <c r="W49" s="689"/>
      <c r="X49" s="690"/>
      <c r="Y49" s="688" t="str">
        <f ca="1">A61</f>
        <v>ＦＣアネーロ･U-12</v>
      </c>
      <c r="Z49" s="689"/>
      <c r="AA49" s="689"/>
      <c r="AB49" s="690"/>
      <c r="AC49" s="688" t="str">
        <f ca="1">A63</f>
        <v>細谷サッカークラブ</v>
      </c>
      <c r="AD49" s="689"/>
      <c r="AE49" s="689"/>
      <c r="AF49" s="690"/>
      <c r="AG49" s="688" t="str">
        <f ca="1">A65</f>
        <v>ＦＣ Ｒｉｓｏ</v>
      </c>
      <c r="AH49" s="689"/>
      <c r="AI49" s="689"/>
      <c r="AJ49" s="690"/>
      <c r="AK49" s="688" t="str">
        <f ca="1">A67</f>
        <v>上三川ＦＣ</v>
      </c>
      <c r="AL49" s="689"/>
      <c r="AM49" s="689"/>
      <c r="AN49" s="690"/>
      <c r="AO49" s="237"/>
      <c r="AP49" s="237"/>
      <c r="AQ49" s="237"/>
      <c r="AR49" s="237"/>
      <c r="AS49" s="242" t="s">
        <v>57</v>
      </c>
      <c r="AT49" s="243" t="s">
        <v>56</v>
      </c>
      <c r="AU49" s="244" t="s">
        <v>60</v>
      </c>
      <c r="AV49" s="244" t="s">
        <v>58</v>
      </c>
      <c r="AW49" s="244" t="s">
        <v>28</v>
      </c>
      <c r="AX49" s="244"/>
      <c r="AY49" s="244" t="s">
        <v>61</v>
      </c>
      <c r="AZ49" s="245" t="s">
        <v>62</v>
      </c>
      <c r="BA49" s="246"/>
    </row>
    <row r="50" spans="1:53" ht="17.25" customHeight="1" x14ac:dyDescent="0.4">
      <c r="A50" s="675" t="s">
        <v>84</v>
      </c>
      <c r="B50" s="676"/>
      <c r="C50" s="676"/>
      <c r="D50" s="677"/>
      <c r="E50" s="616"/>
      <c r="F50" s="617"/>
      <c r="G50" s="617"/>
      <c r="H50" s="618"/>
      <c r="I50" s="663" t="str">
        <f>IF(OR(J50="",L50=""),"",IF(J50&gt;L50,"○",IF(J50&lt;L50,"×",IF(J50=L50,"△"))))</f>
        <v>○</v>
      </c>
      <c r="J50" s="661">
        <f>Ｃブロック対戦表!Q13</f>
        <v>1</v>
      </c>
      <c r="K50" s="630" t="s">
        <v>30</v>
      </c>
      <c r="L50" s="655">
        <f>Ｃブロック対戦表!V13</f>
        <v>0</v>
      </c>
      <c r="M50" s="663" t="str">
        <f>IF(OR(N50="",P50=""),"",IF(N50&gt;P50,"○",IF(N50&lt;P50,"×",IF(N50=P50,"△"))))</f>
        <v>△</v>
      </c>
      <c r="N50" s="661">
        <f>Ｃブロック対戦表!V17</f>
        <v>0</v>
      </c>
      <c r="O50" s="630" t="s">
        <v>30</v>
      </c>
      <c r="P50" s="655">
        <f>Ｃブロック対戦表!Q17</f>
        <v>0</v>
      </c>
      <c r="Q50" s="663" t="str">
        <f t="shared" ref="Q50:Q54" si="107">IF(OR(R50="",T50=""),"",IF(R50&gt;T50,"○",IF(R50&lt;T50,"×",IF(R50=T50,"△"))))</f>
        <v>○</v>
      </c>
      <c r="R50" s="671">
        <f>Ｃブロック対戦表!Q54</f>
        <v>4</v>
      </c>
      <c r="S50" s="628" t="s">
        <v>30</v>
      </c>
      <c r="T50" s="624">
        <f>Ｃブロック対戦表!V54</f>
        <v>3</v>
      </c>
      <c r="U50" s="663" t="str">
        <f t="shared" ref="U50:U54" si="108">IF(OR(V50="",X50=""),"",IF(V50&gt;X50,"○",IF(V50&lt;X50,"×",IF(V50=X50,"△"))))</f>
        <v/>
      </c>
      <c r="V50" s="657" t="str">
        <f>Ｃブロック対戦表!Q81</f>
        <v/>
      </c>
      <c r="W50" s="626" t="s">
        <v>30</v>
      </c>
      <c r="X50" s="622" t="str">
        <f>Ｃブロック対戦表!V81</f>
        <v/>
      </c>
      <c r="Y50" s="663" t="str">
        <f t="shared" ref="Y50:Y54" si="109">IF(OR(Z50="",AB50=""),"",IF(Z50&gt;AB50,"○",IF(Z50&lt;AB50,"×",IF(Z50=AB50,"△"))))</f>
        <v/>
      </c>
      <c r="Z50" s="657" t="str">
        <f>Ｃブロック対戦表!Q106</f>
        <v/>
      </c>
      <c r="AA50" s="626" t="s">
        <v>30</v>
      </c>
      <c r="AB50" s="622" t="str">
        <f>Ｃブロック対戦表!V106</f>
        <v/>
      </c>
      <c r="AC50" s="663" t="str">
        <f t="shared" ref="AC50:AC54" si="110">IF(OR(AD50="",AF50=""),"",IF(AD50&gt;AF50,"○",IF(AD50&lt;AF50,"×",IF(AD50=AF50,"△"))))</f>
        <v>×</v>
      </c>
      <c r="AD50" s="659">
        <f>Ｃブロック対戦表!V46</f>
        <v>1</v>
      </c>
      <c r="AE50" s="628" t="s">
        <v>30</v>
      </c>
      <c r="AF50" s="624">
        <f>Ｃブロック対戦表!Q46</f>
        <v>8</v>
      </c>
      <c r="AG50" s="663" t="str">
        <f t="shared" ref="AG50:AG54" si="111">IF(OR(AH50="",AJ50=""),"",IF(AH50&gt;AJ50,"○",IF(AH50&lt;AJ50,"×",IF(AH50=AJ50,"△"))))</f>
        <v/>
      </c>
      <c r="AH50" s="657" t="str">
        <f>Ｃブロック対戦表!V110</f>
        <v/>
      </c>
      <c r="AI50" s="626" t="s">
        <v>30</v>
      </c>
      <c r="AJ50" s="622" t="str">
        <f>Ｃブロック対戦表!Q110</f>
        <v/>
      </c>
      <c r="AK50" s="663" t="str">
        <f t="shared" ref="AK50:AK54" si="112">IF(OR(AL50="",AN50=""),"",IF(AL50&gt;AN50,"○",IF(AL50&lt;AN50,"×",IF(AL50=AN50,"△"))))</f>
        <v/>
      </c>
      <c r="AL50" s="657" t="str">
        <f>Ｃブロック対戦表!V85</f>
        <v/>
      </c>
      <c r="AM50" s="626" t="s">
        <v>30</v>
      </c>
      <c r="AN50" s="622" t="str">
        <f>Ｃブロック対戦表!Q85</f>
        <v/>
      </c>
      <c r="AO50" s="155"/>
      <c r="AP50" s="155"/>
      <c r="AQ50" s="155"/>
      <c r="AR50" s="155"/>
      <c r="AS50" s="647">
        <f t="shared" ref="AS50:AS54" si="113">COUNTIF(E50:AN51,"○")+COUNTIF(E50:AN51,"×")+COUNTIF(E50:AN51,"△")</f>
        <v>4</v>
      </c>
      <c r="AT50" s="643">
        <f t="shared" ref="AT50:AT54" si="114">COUNTIF(E50:AN51,"○")*3+COUNTIF(E50:AN51,"△")</f>
        <v>7</v>
      </c>
      <c r="AU50" s="639">
        <f t="shared" ref="AU50:AU54" si="115">IF(AS50=0,0,AT50/(AS50*3))</f>
        <v>0.58333333333333337</v>
      </c>
      <c r="AV50" s="634">
        <f t="shared" ref="AV50" si="116">AW50-SUM(H50,L50,P50,T50,X50,AB50,AF50,AJ50,AN50,AR50)</f>
        <v>-5</v>
      </c>
      <c r="AW50" s="634">
        <f t="shared" ref="AW50:AW54" si="117">SUM(F50,J50,N50,R50,V50,Z50,AD50,AH50,AL50,AP50)</f>
        <v>6</v>
      </c>
      <c r="AX50" s="634">
        <f t="shared" ref="AX50:AX54" si="118">AU50+AV50*0.001+AW50*0.00001</f>
        <v>0.57839333333333331</v>
      </c>
      <c r="AY50" s="634">
        <f t="shared" ref="AY50:AY54" si="119">RANK(AX50,$AX$50:$AX$67)</f>
        <v>4</v>
      </c>
      <c r="AZ50" s="634">
        <f>RANK(AX50,$AX$4:$AX$87)</f>
        <v>14</v>
      </c>
      <c r="BA50" s="247"/>
    </row>
    <row r="51" spans="1:53" ht="17.25" customHeight="1" x14ac:dyDescent="0.4">
      <c r="A51" s="678" t="str">
        <f t="shared" ref="A51:A55" ca="1" si="120">INDIRECT("U12組合せ!h"&amp;(ROW()-1)/2-11)</f>
        <v>清原ＳＳＳ</v>
      </c>
      <c r="B51" s="679"/>
      <c r="C51" s="679"/>
      <c r="D51" s="680"/>
      <c r="E51" s="619"/>
      <c r="F51" s="620"/>
      <c r="G51" s="620"/>
      <c r="H51" s="621"/>
      <c r="I51" s="664"/>
      <c r="J51" s="662"/>
      <c r="K51" s="631"/>
      <c r="L51" s="656"/>
      <c r="M51" s="664"/>
      <c r="N51" s="662"/>
      <c r="O51" s="631"/>
      <c r="P51" s="656"/>
      <c r="Q51" s="664"/>
      <c r="R51" s="672"/>
      <c r="S51" s="629"/>
      <c r="T51" s="625"/>
      <c r="U51" s="664"/>
      <c r="V51" s="658"/>
      <c r="W51" s="627"/>
      <c r="X51" s="623"/>
      <c r="Y51" s="664"/>
      <c r="Z51" s="658"/>
      <c r="AA51" s="627"/>
      <c r="AB51" s="623"/>
      <c r="AC51" s="664"/>
      <c r="AD51" s="660"/>
      <c r="AE51" s="629"/>
      <c r="AF51" s="625"/>
      <c r="AG51" s="664"/>
      <c r="AH51" s="658"/>
      <c r="AI51" s="627"/>
      <c r="AJ51" s="623"/>
      <c r="AK51" s="664"/>
      <c r="AL51" s="658"/>
      <c r="AM51" s="627"/>
      <c r="AN51" s="623"/>
      <c r="AO51" s="156"/>
      <c r="AP51" s="156"/>
      <c r="AQ51" s="156"/>
      <c r="AR51" s="156"/>
      <c r="AS51" s="648"/>
      <c r="AT51" s="644"/>
      <c r="AU51" s="640"/>
      <c r="AV51" s="637"/>
      <c r="AW51" s="635"/>
      <c r="AX51" s="635"/>
      <c r="AY51" s="635"/>
      <c r="AZ51" s="635"/>
      <c r="BA51" s="247"/>
    </row>
    <row r="52" spans="1:53" ht="17.25" customHeight="1" x14ac:dyDescent="0.4">
      <c r="A52" s="675" t="s">
        <v>85</v>
      </c>
      <c r="B52" s="676"/>
      <c r="C52" s="676"/>
      <c r="D52" s="677"/>
      <c r="E52" s="663" t="str">
        <f t="shared" ref="E52:E56" si="121">IF(OR(F52="",H52=""),"",IF(F52&gt;H52,"○",IF(F52&lt;H52,"×",IF(F52=H52,"△"))))</f>
        <v>×</v>
      </c>
      <c r="F52" s="657">
        <f>IF(L50="","",L50)</f>
        <v>0</v>
      </c>
      <c r="G52" s="626" t="s">
        <v>30</v>
      </c>
      <c r="H52" s="622">
        <f>IF(J50="","",J50)</f>
        <v>1</v>
      </c>
      <c r="I52" s="616"/>
      <c r="J52" s="617"/>
      <c r="K52" s="617"/>
      <c r="L52" s="618"/>
      <c r="M52" s="663" t="str">
        <f>IF(OR(N52="",P52=""),"",IF(N52&gt;P52,"○",IF(N52&lt;P52,"×",IF(N52=P52,"△"))))</f>
        <v>△</v>
      </c>
      <c r="N52" s="661">
        <f>Ｃブロック対戦表!Q21</f>
        <v>1</v>
      </c>
      <c r="O52" s="630" t="s">
        <v>30</v>
      </c>
      <c r="P52" s="655">
        <f>Ｃブロック対戦表!V21</f>
        <v>1</v>
      </c>
      <c r="Q52" s="663" t="str">
        <f t="shared" si="107"/>
        <v/>
      </c>
      <c r="R52" s="657" t="str">
        <f>Ｃブロック対戦表!Q108</f>
        <v/>
      </c>
      <c r="S52" s="626" t="s">
        <v>30</v>
      </c>
      <c r="T52" s="622" t="str">
        <f>Ｃブロック対戦表!V108</f>
        <v/>
      </c>
      <c r="U52" s="663" t="str">
        <f t="shared" si="108"/>
        <v>×</v>
      </c>
      <c r="V52" s="659">
        <f>'Ｃ＋Ｄブロック対戦表'!Q52</f>
        <v>0</v>
      </c>
      <c r="W52" s="628" t="s">
        <v>30</v>
      </c>
      <c r="X52" s="624">
        <f>'Ｃ＋Ｄブロック対戦表'!V52</f>
        <v>2</v>
      </c>
      <c r="Y52" s="663" t="str">
        <f t="shared" si="109"/>
        <v/>
      </c>
      <c r="Z52" s="657" t="str">
        <f>Ｃブロック対戦表!Q79</f>
        <v/>
      </c>
      <c r="AA52" s="626" t="s">
        <v>30</v>
      </c>
      <c r="AB52" s="622" t="str">
        <f>Ｃブロック対戦表!V79</f>
        <v/>
      </c>
      <c r="AC52" s="663" t="str">
        <f t="shared" si="110"/>
        <v/>
      </c>
      <c r="AD52" s="657" t="str">
        <f>Ｃブロック対戦表!V83</f>
        <v/>
      </c>
      <c r="AE52" s="626" t="s">
        <v>30</v>
      </c>
      <c r="AF52" s="622" t="str">
        <f>Ｃブロック対戦表!Q83</f>
        <v/>
      </c>
      <c r="AG52" s="663" t="str">
        <f t="shared" si="111"/>
        <v>○</v>
      </c>
      <c r="AH52" s="659">
        <f>'Ｃ＋Ｄブロック対戦表'!V44</f>
        <v>1</v>
      </c>
      <c r="AI52" s="628" t="s">
        <v>30</v>
      </c>
      <c r="AJ52" s="624">
        <f>'Ｃ＋Ｄブロック対戦表'!Q44</f>
        <v>0</v>
      </c>
      <c r="AK52" s="663" t="str">
        <f t="shared" si="112"/>
        <v/>
      </c>
      <c r="AL52" s="657" t="str">
        <f>Ｃブロック対戦表!V112</f>
        <v/>
      </c>
      <c r="AM52" s="626" t="s">
        <v>30</v>
      </c>
      <c r="AN52" s="622" t="str">
        <f>Ｃブロック対戦表!Q112</f>
        <v/>
      </c>
      <c r="AO52" s="155"/>
      <c r="AP52" s="155"/>
      <c r="AQ52" s="155"/>
      <c r="AR52" s="155"/>
      <c r="AS52" s="647">
        <f t="shared" si="113"/>
        <v>4</v>
      </c>
      <c r="AT52" s="643">
        <f t="shared" si="114"/>
        <v>4</v>
      </c>
      <c r="AU52" s="639">
        <f t="shared" si="115"/>
        <v>0.33333333333333331</v>
      </c>
      <c r="AV52" s="634">
        <f t="shared" ref="AV52" si="122">AW52-SUM(H52,L52,P52,T52,X52,AB52,AF52,AJ52,AN52,AR52)</f>
        <v>-2</v>
      </c>
      <c r="AW52" s="634">
        <f t="shared" si="117"/>
        <v>2</v>
      </c>
      <c r="AX52" s="634">
        <f t="shared" si="118"/>
        <v>0.33135333333333333</v>
      </c>
      <c r="AY52" s="634">
        <f t="shared" si="119"/>
        <v>5</v>
      </c>
      <c r="AZ52" s="634">
        <f>RANK(AX52,$AX$4:$AX$87)</f>
        <v>21</v>
      </c>
      <c r="BA52" s="247"/>
    </row>
    <row r="53" spans="1:53" ht="17.25" customHeight="1" x14ac:dyDescent="0.4">
      <c r="A53" s="678" t="str">
        <f t="shared" ca="1" si="120"/>
        <v>ＦＣグランディール</v>
      </c>
      <c r="B53" s="679"/>
      <c r="C53" s="679"/>
      <c r="D53" s="680"/>
      <c r="E53" s="664"/>
      <c r="F53" s="658"/>
      <c r="G53" s="627"/>
      <c r="H53" s="623"/>
      <c r="I53" s="619"/>
      <c r="J53" s="620"/>
      <c r="K53" s="620"/>
      <c r="L53" s="621"/>
      <c r="M53" s="664"/>
      <c r="N53" s="662"/>
      <c r="O53" s="631"/>
      <c r="P53" s="656"/>
      <c r="Q53" s="664"/>
      <c r="R53" s="658"/>
      <c r="S53" s="627"/>
      <c r="T53" s="623"/>
      <c r="U53" s="664"/>
      <c r="V53" s="660"/>
      <c r="W53" s="629"/>
      <c r="X53" s="625"/>
      <c r="Y53" s="664"/>
      <c r="Z53" s="658"/>
      <c r="AA53" s="627"/>
      <c r="AB53" s="623"/>
      <c r="AC53" s="664"/>
      <c r="AD53" s="658"/>
      <c r="AE53" s="627"/>
      <c r="AF53" s="623"/>
      <c r="AG53" s="664"/>
      <c r="AH53" s="660"/>
      <c r="AI53" s="629"/>
      <c r="AJ53" s="625"/>
      <c r="AK53" s="664"/>
      <c r="AL53" s="658"/>
      <c r="AM53" s="627"/>
      <c r="AN53" s="623"/>
      <c r="AO53" s="156"/>
      <c r="AP53" s="156"/>
      <c r="AQ53" s="156"/>
      <c r="AR53" s="156"/>
      <c r="AS53" s="648"/>
      <c r="AT53" s="644"/>
      <c r="AU53" s="640"/>
      <c r="AV53" s="637"/>
      <c r="AW53" s="635"/>
      <c r="AX53" s="635"/>
      <c r="AY53" s="635"/>
      <c r="AZ53" s="635"/>
      <c r="BA53" s="247"/>
    </row>
    <row r="54" spans="1:53" ht="17.25" customHeight="1" x14ac:dyDescent="0.4">
      <c r="A54" s="675" t="s">
        <v>86</v>
      </c>
      <c r="B54" s="676"/>
      <c r="C54" s="676"/>
      <c r="D54" s="677"/>
      <c r="E54" s="663" t="str">
        <f t="shared" si="121"/>
        <v>△</v>
      </c>
      <c r="F54" s="657">
        <f>IF(P50="","",P50)</f>
        <v>0</v>
      </c>
      <c r="G54" s="626" t="s">
        <v>30</v>
      </c>
      <c r="H54" s="622">
        <f>IF(N50="","",N50)</f>
        <v>0</v>
      </c>
      <c r="I54" s="663" t="str">
        <f t="shared" ref="I54:I58" si="123">IF(OR(J54="",L54=""),"",IF(J54&gt;L54,"○",IF(J54&lt;L54,"×",IF(J54=L54,"△"))))</f>
        <v>△</v>
      </c>
      <c r="J54" s="657">
        <f>IF(P52="","",P52)</f>
        <v>1</v>
      </c>
      <c r="K54" s="626" t="s">
        <v>30</v>
      </c>
      <c r="L54" s="622">
        <f>IF(N52="","",N52)</f>
        <v>1</v>
      </c>
      <c r="M54" s="616"/>
      <c r="N54" s="617"/>
      <c r="O54" s="617"/>
      <c r="P54" s="618"/>
      <c r="Q54" s="663" t="str">
        <f t="shared" si="107"/>
        <v/>
      </c>
      <c r="R54" s="657" t="str">
        <f>'Ｃ＋Ｄブロック対戦表'!Q79</f>
        <v/>
      </c>
      <c r="S54" s="626" t="s">
        <v>30</v>
      </c>
      <c r="T54" s="622" t="str">
        <f>'Ｃ＋Ｄブロック対戦表'!V79</f>
        <v/>
      </c>
      <c r="U54" s="663" t="str">
        <f t="shared" si="108"/>
        <v/>
      </c>
      <c r="V54" s="657" t="str">
        <f>'Ｃ＋Ｄブロック対戦表'!Q106</f>
        <v/>
      </c>
      <c r="W54" s="626" t="s">
        <v>30</v>
      </c>
      <c r="X54" s="622" t="str">
        <f>'Ｃ＋Ｄブロック対戦表'!V106</f>
        <v/>
      </c>
      <c r="Y54" s="663" t="str">
        <f t="shared" si="109"/>
        <v>×</v>
      </c>
      <c r="Z54" s="659">
        <f>Ｃブロック対戦表!Q52</f>
        <v>0</v>
      </c>
      <c r="AA54" s="628" t="s">
        <v>30</v>
      </c>
      <c r="AB54" s="624">
        <f>Ｃブロック対戦表!V52</f>
        <v>2</v>
      </c>
      <c r="AC54" s="663" t="str">
        <f t="shared" si="110"/>
        <v/>
      </c>
      <c r="AD54" s="657" t="str">
        <f>'Ｃ＋Ｄブロック対戦表'!V110</f>
        <v/>
      </c>
      <c r="AE54" s="626" t="s">
        <v>30</v>
      </c>
      <c r="AF54" s="622" t="str">
        <f>'Ｃ＋Ｄブロック対戦表'!Q110</f>
        <v/>
      </c>
      <c r="AG54" s="663" t="str">
        <f t="shared" si="111"/>
        <v/>
      </c>
      <c r="AH54" s="657" t="str">
        <f>'Ｃ＋Ｄブロック対戦表'!V83</f>
        <v/>
      </c>
      <c r="AI54" s="626" t="s">
        <v>30</v>
      </c>
      <c r="AJ54" s="622" t="str">
        <f>'Ｃ＋Ｄブロック対戦表'!Q83</f>
        <v/>
      </c>
      <c r="AK54" s="663" t="str">
        <f t="shared" si="112"/>
        <v>×</v>
      </c>
      <c r="AL54" s="659">
        <f>Ｃブロック対戦表!V44</f>
        <v>0</v>
      </c>
      <c r="AM54" s="628" t="s">
        <v>30</v>
      </c>
      <c r="AN54" s="624">
        <f>Ｃブロック対戦表!Q44</f>
        <v>1</v>
      </c>
      <c r="AO54" s="155"/>
      <c r="AP54" s="155"/>
      <c r="AQ54" s="155"/>
      <c r="AR54" s="155"/>
      <c r="AS54" s="647">
        <f t="shared" si="113"/>
        <v>4</v>
      </c>
      <c r="AT54" s="643">
        <f t="shared" si="114"/>
        <v>2</v>
      </c>
      <c r="AU54" s="639">
        <f t="shared" si="115"/>
        <v>0.16666666666666666</v>
      </c>
      <c r="AV54" s="634">
        <f t="shared" ref="AV54" si="124">AW54-SUM(H54,L54,P54,T54,X54,AB54,AF54,AJ54,AN54,AR54)</f>
        <v>-3</v>
      </c>
      <c r="AW54" s="634">
        <f t="shared" si="117"/>
        <v>1</v>
      </c>
      <c r="AX54" s="634">
        <f t="shared" si="118"/>
        <v>0.16367666666666666</v>
      </c>
      <c r="AY54" s="634">
        <f t="shared" si="119"/>
        <v>8</v>
      </c>
      <c r="AZ54" s="634">
        <f>RANK(AX54,$AX$4:$AX$87)</f>
        <v>32</v>
      </c>
      <c r="BA54" s="247"/>
    </row>
    <row r="55" spans="1:53" ht="17.25" customHeight="1" x14ac:dyDescent="0.4">
      <c r="A55" s="678" t="str">
        <f t="shared" ca="1" si="120"/>
        <v>ＦＣブロケード</v>
      </c>
      <c r="B55" s="679"/>
      <c r="C55" s="679"/>
      <c r="D55" s="680"/>
      <c r="E55" s="664"/>
      <c r="F55" s="658"/>
      <c r="G55" s="627"/>
      <c r="H55" s="623"/>
      <c r="I55" s="664"/>
      <c r="J55" s="658"/>
      <c r="K55" s="627"/>
      <c r="L55" s="623"/>
      <c r="M55" s="619"/>
      <c r="N55" s="620"/>
      <c r="O55" s="620"/>
      <c r="P55" s="621"/>
      <c r="Q55" s="664"/>
      <c r="R55" s="658"/>
      <c r="S55" s="627"/>
      <c r="T55" s="623"/>
      <c r="U55" s="664"/>
      <c r="V55" s="658"/>
      <c r="W55" s="627"/>
      <c r="X55" s="623"/>
      <c r="Y55" s="664"/>
      <c r="Z55" s="660"/>
      <c r="AA55" s="629"/>
      <c r="AB55" s="625"/>
      <c r="AC55" s="664"/>
      <c r="AD55" s="658"/>
      <c r="AE55" s="627"/>
      <c r="AF55" s="623"/>
      <c r="AG55" s="664"/>
      <c r="AH55" s="658"/>
      <c r="AI55" s="627"/>
      <c r="AJ55" s="623"/>
      <c r="AK55" s="664"/>
      <c r="AL55" s="660"/>
      <c r="AM55" s="629"/>
      <c r="AN55" s="625"/>
      <c r="AO55" s="156"/>
      <c r="AP55" s="156"/>
      <c r="AQ55" s="156"/>
      <c r="AR55" s="156"/>
      <c r="AS55" s="648"/>
      <c r="AT55" s="644"/>
      <c r="AU55" s="640"/>
      <c r="AV55" s="637"/>
      <c r="AW55" s="635"/>
      <c r="AX55" s="635"/>
      <c r="AY55" s="635"/>
      <c r="AZ55" s="635"/>
      <c r="BA55" s="247"/>
    </row>
    <row r="56" spans="1:53" ht="17.25" customHeight="1" x14ac:dyDescent="0.4">
      <c r="A56" s="675" t="s">
        <v>87</v>
      </c>
      <c r="B56" s="676"/>
      <c r="C56" s="676"/>
      <c r="D56" s="677"/>
      <c r="E56" s="663" t="str">
        <f t="shared" si="121"/>
        <v>×</v>
      </c>
      <c r="F56" s="657">
        <f>IF(T50="","",T50)</f>
        <v>3</v>
      </c>
      <c r="G56" s="626" t="s">
        <v>30</v>
      </c>
      <c r="H56" s="622">
        <f>IF(R50="","",R50)</f>
        <v>4</v>
      </c>
      <c r="I56" s="663" t="str">
        <f t="shared" si="123"/>
        <v/>
      </c>
      <c r="J56" s="657" t="str">
        <f>IF(T52="","",T52)</f>
        <v/>
      </c>
      <c r="K56" s="626" t="s">
        <v>30</v>
      </c>
      <c r="L56" s="622" t="str">
        <f>IF(R52="","",R52)</f>
        <v/>
      </c>
      <c r="M56" s="663" t="str">
        <f t="shared" ref="M56:M60" si="125">IF(OR(N56="",P56=""),"",IF(N56&gt;P56,"○",IF(N56&lt;P56,"×",IF(N56=P56,"△"))))</f>
        <v/>
      </c>
      <c r="N56" s="657" t="str">
        <f>IF(T54="","",T54)</f>
        <v/>
      </c>
      <c r="O56" s="626" t="s">
        <v>30</v>
      </c>
      <c r="P56" s="622" t="str">
        <f>IF(R54="","",R54)</f>
        <v/>
      </c>
      <c r="Q56" s="616"/>
      <c r="R56" s="617"/>
      <c r="S56" s="617"/>
      <c r="T56" s="618"/>
      <c r="U56" s="663" t="str">
        <f>IF(OR(V56="",X56=""),"",IF(V56&gt;X56,"○",IF(V56&lt;X56,"×",IF(V56=X56,"△"))))</f>
        <v>×</v>
      </c>
      <c r="V56" s="661">
        <f>Ｃブロック対戦表!Q15</f>
        <v>2</v>
      </c>
      <c r="W56" s="630" t="s">
        <v>30</v>
      </c>
      <c r="X56" s="655">
        <f>Ｃブロック対戦表!V15</f>
        <v>3</v>
      </c>
      <c r="Y56" s="663" t="str">
        <f>IF(OR(Z56="",AB56=""),"",IF(Z56&gt;AB56,"○",IF(Z56&lt;AB56,"×",IF(Z56=AB56,"△"))))</f>
        <v>×</v>
      </c>
      <c r="Z56" s="661">
        <f>Ｃブロック対戦表!V19</f>
        <v>1</v>
      </c>
      <c r="AA56" s="630" t="s">
        <v>30</v>
      </c>
      <c r="AB56" s="655">
        <f>Ｃブロック対戦表!Q19</f>
        <v>3</v>
      </c>
      <c r="AC56" s="663" t="str">
        <f t="shared" ref="AC56:AC60" si="126">IF(OR(AD56="",AF56=""),"",IF(AD56&gt;AF56,"○",IF(AD56&lt;AF56,"×",IF(AD56=AF56,"△"))))</f>
        <v>×</v>
      </c>
      <c r="AD56" s="659">
        <f>Ｃブロック対戦表!Q50</f>
        <v>0</v>
      </c>
      <c r="AE56" s="628" t="s">
        <v>30</v>
      </c>
      <c r="AF56" s="624">
        <f>Ｃブロック対戦表!V50</f>
        <v>2</v>
      </c>
      <c r="AG56" s="663" t="str">
        <f t="shared" ref="AG56:AG60" si="127">IF(OR(AH56="",AJ56=""),"",IF(AH56&gt;AJ56,"○",IF(AH56&lt;AJ56,"×",IF(AH56=AJ56,"△"))))</f>
        <v/>
      </c>
      <c r="AH56" s="657" t="str">
        <f>'Ｃ＋Ｄブロック対戦表'!Q75</f>
        <v/>
      </c>
      <c r="AI56" s="626" t="s">
        <v>30</v>
      </c>
      <c r="AJ56" s="622" t="str">
        <f>'Ｃ＋Ｄブロック対戦表'!V75</f>
        <v/>
      </c>
      <c r="AK56" s="663" t="str">
        <f t="shared" ref="AK56:AK60" si="128">IF(OR(AL56="",AN56=""),"",IF(AL56&gt;AN56,"○",IF(AL56&lt;AN56,"×",IF(AL56=AN56,"△"))))</f>
        <v/>
      </c>
      <c r="AL56" s="657" t="str">
        <f>Ｃブロック対戦表!Q116</f>
        <v/>
      </c>
      <c r="AM56" s="626" t="s">
        <v>30</v>
      </c>
      <c r="AN56" s="622" t="str">
        <f>Ｃブロック対戦表!V116</f>
        <v/>
      </c>
      <c r="AO56" s="155"/>
      <c r="AP56" s="155"/>
      <c r="AQ56" s="155"/>
      <c r="AR56" s="155"/>
      <c r="AS56" s="647">
        <f t="shared" ref="AS56:AS60" si="129">COUNTIF(E56:AN57,"○")+COUNTIF(E56:AN57,"×")+COUNTIF(E56:AN57,"△")</f>
        <v>4</v>
      </c>
      <c r="AT56" s="643">
        <f t="shared" ref="AT56:AT60" si="130">COUNTIF(E56:AN57,"○")*3+COUNTIF(E56:AN57,"△")</f>
        <v>0</v>
      </c>
      <c r="AU56" s="639">
        <f t="shared" ref="AU56:AU60" si="131">IF(AS56=0,0,AT56/(AS56*3))</f>
        <v>0</v>
      </c>
      <c r="AV56" s="634">
        <f t="shared" ref="AV56" si="132">AW56-SUM(H56,L56,P56,T56,X56,AB56,AF56,AJ56,AN56,AR56)</f>
        <v>-6</v>
      </c>
      <c r="AW56" s="634">
        <f t="shared" ref="AW56:AW60" si="133">SUM(F56,J56,N56,R56,V56,Z56,AD56,AH56,AL56,AP56)</f>
        <v>6</v>
      </c>
      <c r="AX56" s="634">
        <f t="shared" ref="AX56:AX60" si="134">AU56+AV56*0.001+AW56*0.00001</f>
        <v>-5.94E-3</v>
      </c>
      <c r="AY56" s="634">
        <f t="shared" ref="AY56:AY60" si="135">RANK(AX56,$AX$50:$AX$67)</f>
        <v>9</v>
      </c>
      <c r="AZ56" s="634">
        <f>RANK(AX56,$AX$4:$AX$87)</f>
        <v>36</v>
      </c>
      <c r="BA56" s="247"/>
    </row>
    <row r="57" spans="1:53" ht="17.25" customHeight="1" x14ac:dyDescent="0.4">
      <c r="A57" s="678" t="str">
        <f t="shared" ref="A57:A61" ca="1" si="136">INDIRECT("U12組合せ!h"&amp;(ROW()-1)/2-11)</f>
        <v>緑が丘ＹＦＣ</v>
      </c>
      <c r="B57" s="679"/>
      <c r="C57" s="679"/>
      <c r="D57" s="680"/>
      <c r="E57" s="664"/>
      <c r="F57" s="658"/>
      <c r="G57" s="627"/>
      <c r="H57" s="623"/>
      <c r="I57" s="664"/>
      <c r="J57" s="658"/>
      <c r="K57" s="627"/>
      <c r="L57" s="623"/>
      <c r="M57" s="664"/>
      <c r="N57" s="658"/>
      <c r="O57" s="627"/>
      <c r="P57" s="623"/>
      <c r="Q57" s="619"/>
      <c r="R57" s="620"/>
      <c r="S57" s="620"/>
      <c r="T57" s="621"/>
      <c r="U57" s="664"/>
      <c r="V57" s="662"/>
      <c r="W57" s="631"/>
      <c r="X57" s="656"/>
      <c r="Y57" s="664"/>
      <c r="Z57" s="662"/>
      <c r="AA57" s="631"/>
      <c r="AB57" s="656"/>
      <c r="AC57" s="664"/>
      <c r="AD57" s="660"/>
      <c r="AE57" s="629"/>
      <c r="AF57" s="625"/>
      <c r="AG57" s="664"/>
      <c r="AH57" s="658"/>
      <c r="AI57" s="627"/>
      <c r="AJ57" s="623"/>
      <c r="AK57" s="664"/>
      <c r="AL57" s="658"/>
      <c r="AM57" s="627"/>
      <c r="AN57" s="623"/>
      <c r="AO57" s="156"/>
      <c r="AP57" s="156"/>
      <c r="AQ57" s="156"/>
      <c r="AR57" s="156"/>
      <c r="AS57" s="648"/>
      <c r="AT57" s="644"/>
      <c r="AU57" s="640"/>
      <c r="AV57" s="637"/>
      <c r="AW57" s="635"/>
      <c r="AX57" s="635"/>
      <c r="AY57" s="635"/>
      <c r="AZ57" s="635"/>
      <c r="BA57" s="247"/>
    </row>
    <row r="58" spans="1:53" ht="17.25" customHeight="1" x14ac:dyDescent="0.4">
      <c r="A58" s="675" t="s">
        <v>88</v>
      </c>
      <c r="B58" s="676"/>
      <c r="C58" s="676"/>
      <c r="D58" s="677"/>
      <c r="E58" s="663" t="str">
        <f t="shared" ref="E58:E62" si="137">IF(OR(F58="",H58=""),"",IF(F58&gt;H58,"○",IF(F58&lt;H58,"×",IF(F58=H58,"△"))))</f>
        <v/>
      </c>
      <c r="F58" s="657" t="str">
        <f>IF(X50="","",X50)</f>
        <v/>
      </c>
      <c r="G58" s="626" t="s">
        <v>30</v>
      </c>
      <c r="H58" s="622" t="str">
        <f>IF(V50="","",V50)</f>
        <v/>
      </c>
      <c r="I58" s="663" t="str">
        <f t="shared" si="123"/>
        <v>○</v>
      </c>
      <c r="J58" s="657">
        <f>IF(X52="","",X52)</f>
        <v>2</v>
      </c>
      <c r="K58" s="626" t="s">
        <v>30</v>
      </c>
      <c r="L58" s="622">
        <f>IF(V52="","",V52)</f>
        <v>0</v>
      </c>
      <c r="M58" s="663" t="str">
        <f t="shared" si="125"/>
        <v/>
      </c>
      <c r="N58" s="657" t="str">
        <f>IF(X54="","",X54)</f>
        <v/>
      </c>
      <c r="O58" s="626" t="s">
        <v>30</v>
      </c>
      <c r="P58" s="622" t="str">
        <f>IF(V54="","",V54)</f>
        <v/>
      </c>
      <c r="Q58" s="663" t="str">
        <f t="shared" ref="Q58:Q62" si="138">IF(OR(R58="",T58=""),"",IF(R58&gt;T58,"○",IF(R58&lt;T58,"×",IF(R58=T58,"△"))))</f>
        <v>○</v>
      </c>
      <c r="R58" s="657">
        <f>IF(X56="","",X56)</f>
        <v>3</v>
      </c>
      <c r="S58" s="626" t="s">
        <v>30</v>
      </c>
      <c r="T58" s="622">
        <f>IF(V56="","",V56)</f>
        <v>2</v>
      </c>
      <c r="U58" s="616"/>
      <c r="V58" s="617"/>
      <c r="W58" s="617"/>
      <c r="X58" s="618"/>
      <c r="Y58" s="663" t="str">
        <f>IF(OR(Z58="",AB58=""),"",IF(Z58&gt;AB58,"○",IF(Z58&lt;AB58,"×",IF(Z58=AB58,"△"))))</f>
        <v>×</v>
      </c>
      <c r="Z58" s="661">
        <f>Ｃブロック対戦表!Q23</f>
        <v>0</v>
      </c>
      <c r="AA58" s="630" t="s">
        <v>30</v>
      </c>
      <c r="AB58" s="655">
        <f>Ｃブロック対戦表!V23</f>
        <v>3</v>
      </c>
      <c r="AC58" s="663" t="str">
        <f t="shared" si="126"/>
        <v/>
      </c>
      <c r="AD58" s="657" t="str">
        <f>'Ｃ＋Ｄブロック対戦表'!Q114</f>
        <v/>
      </c>
      <c r="AE58" s="626" t="s">
        <v>30</v>
      </c>
      <c r="AF58" s="622" t="str">
        <f>'Ｃ＋Ｄブロック対戦表'!V114</f>
        <v/>
      </c>
      <c r="AG58" s="663" t="str">
        <f t="shared" si="127"/>
        <v>○</v>
      </c>
      <c r="AH58" s="659">
        <f>'Ｃ＋Ｄブロック対戦表'!Q48</f>
        <v>2</v>
      </c>
      <c r="AI58" s="628" t="s">
        <v>30</v>
      </c>
      <c r="AJ58" s="624">
        <f>Ｃブロック対戦表!V48</f>
        <v>0</v>
      </c>
      <c r="AK58" s="663" t="str">
        <f t="shared" si="128"/>
        <v/>
      </c>
      <c r="AL58" s="657" t="str">
        <f>Ｃブロック対戦表!Q77</f>
        <v/>
      </c>
      <c r="AM58" s="626" t="s">
        <v>30</v>
      </c>
      <c r="AN58" s="622" t="str">
        <f>Ｃブロック対戦表!V77</f>
        <v/>
      </c>
      <c r="AO58" s="155"/>
      <c r="AP58" s="155"/>
      <c r="AQ58" s="155"/>
      <c r="AR58" s="155"/>
      <c r="AS58" s="647">
        <f t="shared" si="129"/>
        <v>4</v>
      </c>
      <c r="AT58" s="643">
        <f t="shared" si="130"/>
        <v>9</v>
      </c>
      <c r="AU58" s="639">
        <f t="shared" si="131"/>
        <v>0.75</v>
      </c>
      <c r="AV58" s="634">
        <f t="shared" ref="AV58" si="139">AW58-SUM(H58,L58,P58,T58,X58,AB58,AF58,AJ58,AN58,AR58)</f>
        <v>2</v>
      </c>
      <c r="AW58" s="634">
        <f t="shared" si="133"/>
        <v>7</v>
      </c>
      <c r="AX58" s="634">
        <f t="shared" si="134"/>
        <v>0.75207000000000002</v>
      </c>
      <c r="AY58" s="634">
        <f t="shared" si="135"/>
        <v>3</v>
      </c>
      <c r="AZ58" s="634">
        <f>RANK(AX58,$AX$4:$AX$87)</f>
        <v>8</v>
      </c>
      <c r="BA58" s="247"/>
    </row>
    <row r="59" spans="1:53" ht="17.25" customHeight="1" x14ac:dyDescent="0.4">
      <c r="A59" s="678" t="str">
        <f t="shared" ca="1" si="136"/>
        <v>ともぞうＳＣ U12</v>
      </c>
      <c r="B59" s="679"/>
      <c r="C59" s="679"/>
      <c r="D59" s="680"/>
      <c r="E59" s="664"/>
      <c r="F59" s="658"/>
      <c r="G59" s="627"/>
      <c r="H59" s="623"/>
      <c r="I59" s="664"/>
      <c r="J59" s="658"/>
      <c r="K59" s="627"/>
      <c r="L59" s="623"/>
      <c r="M59" s="664"/>
      <c r="N59" s="658"/>
      <c r="O59" s="627"/>
      <c r="P59" s="623"/>
      <c r="Q59" s="664"/>
      <c r="R59" s="658"/>
      <c r="S59" s="627"/>
      <c r="T59" s="623"/>
      <c r="U59" s="619"/>
      <c r="V59" s="620"/>
      <c r="W59" s="620"/>
      <c r="X59" s="621"/>
      <c r="Y59" s="664"/>
      <c r="Z59" s="662"/>
      <c r="AA59" s="631"/>
      <c r="AB59" s="656"/>
      <c r="AC59" s="664"/>
      <c r="AD59" s="658"/>
      <c r="AE59" s="627"/>
      <c r="AF59" s="623"/>
      <c r="AG59" s="664"/>
      <c r="AH59" s="660"/>
      <c r="AI59" s="629"/>
      <c r="AJ59" s="625"/>
      <c r="AK59" s="664"/>
      <c r="AL59" s="658"/>
      <c r="AM59" s="627"/>
      <c r="AN59" s="623"/>
      <c r="AO59" s="156"/>
      <c r="AP59" s="156"/>
      <c r="AQ59" s="156"/>
      <c r="AR59" s="156"/>
      <c r="AS59" s="648"/>
      <c r="AT59" s="644"/>
      <c r="AU59" s="640"/>
      <c r="AV59" s="637"/>
      <c r="AW59" s="635"/>
      <c r="AX59" s="635"/>
      <c r="AY59" s="635"/>
      <c r="AZ59" s="635"/>
      <c r="BA59" s="247"/>
    </row>
    <row r="60" spans="1:53" ht="17.25" customHeight="1" x14ac:dyDescent="0.4">
      <c r="A60" s="675" t="s">
        <v>89</v>
      </c>
      <c r="B60" s="676"/>
      <c r="C60" s="676"/>
      <c r="D60" s="677"/>
      <c r="E60" s="663" t="str">
        <f t="shared" si="137"/>
        <v/>
      </c>
      <c r="F60" s="657" t="str">
        <f>IF(AB50="","",AB50)</f>
        <v/>
      </c>
      <c r="G60" s="626" t="s">
        <v>30</v>
      </c>
      <c r="H60" s="622" t="str">
        <f>IF(Z50="","",Z50)</f>
        <v/>
      </c>
      <c r="I60" s="663" t="str">
        <f t="shared" ref="I60:I64" si="140">IF(OR(J60="",L60=""),"",IF(J60&gt;L60,"○",IF(J60&lt;L60,"×",IF(J60=L60,"△"))))</f>
        <v/>
      </c>
      <c r="J60" s="657" t="str">
        <f>IF(AB52="","",AB52)</f>
        <v/>
      </c>
      <c r="K60" s="626" t="s">
        <v>30</v>
      </c>
      <c r="L60" s="622" t="str">
        <f>IF(Z52="","",Z52)</f>
        <v/>
      </c>
      <c r="M60" s="663" t="str">
        <f t="shared" si="125"/>
        <v>○</v>
      </c>
      <c r="N60" s="657">
        <f>IF(AB54="","",AB54)</f>
        <v>2</v>
      </c>
      <c r="O60" s="626" t="s">
        <v>30</v>
      </c>
      <c r="P60" s="622">
        <f>IF(Z54="","",Z54)</f>
        <v>0</v>
      </c>
      <c r="Q60" s="663" t="str">
        <f t="shared" si="138"/>
        <v>○</v>
      </c>
      <c r="R60" s="657">
        <f>IF(AB56="","",AB56)</f>
        <v>3</v>
      </c>
      <c r="S60" s="626" t="s">
        <v>30</v>
      </c>
      <c r="T60" s="622">
        <f>IF(Z56="","",Z56)</f>
        <v>1</v>
      </c>
      <c r="U60" s="663" t="str">
        <f t="shared" ref="U60:U64" si="141">IF(OR(V60="",X60=""),"",IF(V60&gt;X60,"○",IF(V60&lt;X60,"×",IF(V60=X60,"△"))))</f>
        <v>○</v>
      </c>
      <c r="V60" s="657">
        <f>IF(AB58="","",AB58)</f>
        <v>3</v>
      </c>
      <c r="W60" s="626" t="s">
        <v>30</v>
      </c>
      <c r="X60" s="622">
        <f>IF(Z58="","",Z58)</f>
        <v>0</v>
      </c>
      <c r="Y60" s="616"/>
      <c r="Z60" s="617"/>
      <c r="AA60" s="617"/>
      <c r="AB60" s="618"/>
      <c r="AC60" s="663" t="str">
        <f t="shared" si="126"/>
        <v/>
      </c>
      <c r="AD60" s="657" t="str">
        <f>Ｃブロック対戦表!Q75</f>
        <v/>
      </c>
      <c r="AE60" s="626" t="s">
        <v>30</v>
      </c>
      <c r="AF60" s="622" t="str">
        <f>Ｃブロック対戦表!V75</f>
        <v/>
      </c>
      <c r="AG60" s="663" t="str">
        <f t="shared" si="127"/>
        <v/>
      </c>
      <c r="AH60" s="657" t="str">
        <f>Ｃブロック対戦表!Q114</f>
        <v/>
      </c>
      <c r="AI60" s="626" t="s">
        <v>30</v>
      </c>
      <c r="AJ60" s="622" t="str">
        <f>Ｃブロック対戦表!V114</f>
        <v/>
      </c>
      <c r="AK60" s="663" t="str">
        <f t="shared" si="128"/>
        <v>○</v>
      </c>
      <c r="AL60" s="659">
        <f>Ｃブロック対戦表!Q48</f>
        <v>3</v>
      </c>
      <c r="AM60" s="628" t="s">
        <v>30</v>
      </c>
      <c r="AN60" s="624">
        <f>Ｃブロック対戦表!V48</f>
        <v>0</v>
      </c>
      <c r="AO60" s="155"/>
      <c r="AP60" s="155"/>
      <c r="AQ60" s="155"/>
      <c r="AR60" s="155"/>
      <c r="AS60" s="647">
        <f t="shared" si="129"/>
        <v>4</v>
      </c>
      <c r="AT60" s="643">
        <f t="shared" si="130"/>
        <v>12</v>
      </c>
      <c r="AU60" s="639">
        <f t="shared" si="131"/>
        <v>1</v>
      </c>
      <c r="AV60" s="634">
        <f t="shared" ref="AV60" si="142">AW60-SUM(H60,L60,P60,T60,X60,AB60,AF60,AJ60,AN60,AR60)</f>
        <v>10</v>
      </c>
      <c r="AW60" s="634">
        <f t="shared" si="133"/>
        <v>11</v>
      </c>
      <c r="AX60" s="634">
        <f t="shared" si="134"/>
        <v>1.0101100000000001</v>
      </c>
      <c r="AY60" s="634">
        <f t="shared" si="135"/>
        <v>2</v>
      </c>
      <c r="AZ60" s="634">
        <f>RANK(AX60,$AX$4:$AX$87)</f>
        <v>5</v>
      </c>
      <c r="BA60" s="247"/>
    </row>
    <row r="61" spans="1:53" ht="17.25" customHeight="1" x14ac:dyDescent="0.4">
      <c r="A61" s="678" t="str">
        <f t="shared" ca="1" si="136"/>
        <v>ＦＣアネーロ･U-12</v>
      </c>
      <c r="B61" s="679"/>
      <c r="C61" s="679"/>
      <c r="D61" s="680"/>
      <c r="E61" s="664"/>
      <c r="F61" s="658"/>
      <c r="G61" s="627"/>
      <c r="H61" s="623"/>
      <c r="I61" s="664"/>
      <c r="J61" s="658"/>
      <c r="K61" s="627"/>
      <c r="L61" s="623"/>
      <c r="M61" s="664"/>
      <c r="N61" s="658"/>
      <c r="O61" s="627"/>
      <c r="P61" s="623"/>
      <c r="Q61" s="664"/>
      <c r="R61" s="658"/>
      <c r="S61" s="627"/>
      <c r="T61" s="623"/>
      <c r="U61" s="664"/>
      <c r="V61" s="658"/>
      <c r="W61" s="627"/>
      <c r="X61" s="623"/>
      <c r="Y61" s="619"/>
      <c r="Z61" s="620"/>
      <c r="AA61" s="620"/>
      <c r="AB61" s="621"/>
      <c r="AC61" s="664"/>
      <c r="AD61" s="658"/>
      <c r="AE61" s="627"/>
      <c r="AF61" s="623"/>
      <c r="AG61" s="664"/>
      <c r="AH61" s="658"/>
      <c r="AI61" s="627"/>
      <c r="AJ61" s="623"/>
      <c r="AK61" s="664"/>
      <c r="AL61" s="660"/>
      <c r="AM61" s="629"/>
      <c r="AN61" s="625"/>
      <c r="AO61" s="156"/>
      <c r="AP61" s="156"/>
      <c r="AQ61" s="156"/>
      <c r="AR61" s="156"/>
      <c r="AS61" s="648"/>
      <c r="AT61" s="644"/>
      <c r="AU61" s="640"/>
      <c r="AV61" s="637"/>
      <c r="AW61" s="635"/>
      <c r="AX61" s="635"/>
      <c r="AY61" s="635"/>
      <c r="AZ61" s="635"/>
      <c r="BA61" s="247"/>
    </row>
    <row r="62" spans="1:53" ht="17.25" customHeight="1" x14ac:dyDescent="0.4">
      <c r="A62" s="675" t="s">
        <v>90</v>
      </c>
      <c r="B62" s="676"/>
      <c r="C62" s="676"/>
      <c r="D62" s="677"/>
      <c r="E62" s="663" t="str">
        <f t="shared" si="137"/>
        <v>○</v>
      </c>
      <c r="F62" s="657">
        <f>IF(AF50="","",AF50)</f>
        <v>8</v>
      </c>
      <c r="G62" s="626" t="s">
        <v>30</v>
      </c>
      <c r="H62" s="622">
        <f>IF(AD50="","",AD50)</f>
        <v>1</v>
      </c>
      <c r="I62" s="663" t="str">
        <f t="shared" si="140"/>
        <v/>
      </c>
      <c r="J62" s="657" t="str">
        <f>IF(AF52="","",AF52)</f>
        <v/>
      </c>
      <c r="K62" s="626" t="s">
        <v>30</v>
      </c>
      <c r="L62" s="622" t="str">
        <f>IF(AD52="","",AD52)</f>
        <v/>
      </c>
      <c r="M62" s="663" t="str">
        <f t="shared" ref="M62:M66" si="143">IF(OR(N62="",P62=""),"",IF(N62&gt;P62,"○",IF(N62&lt;P62,"×",IF(N62=P62,"△"))))</f>
        <v/>
      </c>
      <c r="N62" s="657" t="str">
        <f>IF(AF54="","",AF54)</f>
        <v/>
      </c>
      <c r="O62" s="626" t="s">
        <v>30</v>
      </c>
      <c r="P62" s="622" t="str">
        <f>IF(AD54="","",AD54)</f>
        <v/>
      </c>
      <c r="Q62" s="663" t="str">
        <f t="shared" si="138"/>
        <v>○</v>
      </c>
      <c r="R62" s="657">
        <f>IF(AF56="","",AF56)</f>
        <v>2</v>
      </c>
      <c r="S62" s="626" t="s">
        <v>30</v>
      </c>
      <c r="T62" s="622">
        <f>IF(AD56="","",AD56)</f>
        <v>0</v>
      </c>
      <c r="U62" s="663" t="str">
        <f t="shared" si="141"/>
        <v/>
      </c>
      <c r="V62" s="657" t="str">
        <f>IF(AF58="","",AF58)</f>
        <v/>
      </c>
      <c r="W62" s="626" t="s">
        <v>30</v>
      </c>
      <c r="X62" s="622" t="str">
        <f>IF(AD58="","",AD58)</f>
        <v/>
      </c>
      <c r="Y62" s="663" t="str">
        <f t="shared" ref="Y62:Y66" si="144">IF(OR(Z62="",AB62=""),"",IF(Z62&gt;AB62,"○",IF(Z62&lt;AB62,"×",IF(Z62=AB62,"△"))))</f>
        <v/>
      </c>
      <c r="Z62" s="657" t="str">
        <f>IF(AF60="","",AF60)</f>
        <v/>
      </c>
      <c r="AA62" s="626" t="s">
        <v>30</v>
      </c>
      <c r="AB62" s="622" t="str">
        <f>IF(AD60="","",AD60)</f>
        <v/>
      </c>
      <c r="AC62" s="616"/>
      <c r="AD62" s="617"/>
      <c r="AE62" s="617"/>
      <c r="AF62" s="618"/>
      <c r="AG62" s="663" t="str">
        <f>IF(OR(AH62="",AJ62=""),"",IF(AH62&gt;AJ62,"○",IF(AH62&lt;AJ62,"×",IF(AH62=AJ62,"△"))))</f>
        <v>○</v>
      </c>
      <c r="AH62" s="661">
        <f>'Ｃ＋Ｄブロック対戦表'!Q13</f>
        <v>1</v>
      </c>
      <c r="AI62" s="630" t="s">
        <v>30</v>
      </c>
      <c r="AJ62" s="655">
        <f>'Ｃ＋Ｄブロック対戦表'!V13</f>
        <v>0</v>
      </c>
      <c r="AK62" s="663" t="str">
        <f>IF(OR(AL62="",AN62=""),"",IF(AL62&gt;AN62,"○",IF(AL62&lt;AN62,"×",IF(AL62=AN62,"△"))))</f>
        <v>○</v>
      </c>
      <c r="AL62" s="661">
        <f>'Ｃ＋Ｄブロック対戦表'!V17</f>
        <v>5</v>
      </c>
      <c r="AM62" s="630" t="s">
        <v>30</v>
      </c>
      <c r="AN62" s="655">
        <f>'Ｃ＋Ｄブロック対戦表'!Q17</f>
        <v>1</v>
      </c>
      <c r="AO62" s="155"/>
      <c r="AP62" s="155"/>
      <c r="AQ62" s="155"/>
      <c r="AR62" s="155"/>
      <c r="AS62" s="647">
        <f t="shared" ref="AS62:AS66" si="145">COUNTIF(E62:AN63,"○")+COUNTIF(E62:AN63,"×")+COUNTIF(E62:AN63,"△")</f>
        <v>4</v>
      </c>
      <c r="AT62" s="643">
        <f t="shared" ref="AT62:AT66" si="146">COUNTIF(E62:AN63,"○")*3+COUNTIF(E62:AN63,"△")</f>
        <v>12</v>
      </c>
      <c r="AU62" s="639">
        <f t="shared" ref="AU62:AU66" si="147">IF(AS62=0,0,AT62/(AS62*3))</f>
        <v>1</v>
      </c>
      <c r="AV62" s="634">
        <f t="shared" ref="AV62" si="148">AW62-SUM(H62,L62,P62,T62,X62,AB62,AF62,AJ62,AN62,AR62)</f>
        <v>14</v>
      </c>
      <c r="AW62" s="634">
        <f t="shared" ref="AW62:AW66" si="149">SUM(F62,J62,N62,R62,V62,Z62,AD62,AH62,AL62,AP62)</f>
        <v>16</v>
      </c>
      <c r="AX62" s="634">
        <f t="shared" ref="AX62:AX66" si="150">AU62+AV62*0.001+AW62*0.00001</f>
        <v>1.01416</v>
      </c>
      <c r="AY62" s="634">
        <f t="shared" ref="AY62:AY66" si="151">RANK(AX62,$AX$50:$AX$67)</f>
        <v>1</v>
      </c>
      <c r="AZ62" s="634">
        <f>RANK(AX62,$AX$4:$AX$87)</f>
        <v>4</v>
      </c>
      <c r="BA62" s="247"/>
    </row>
    <row r="63" spans="1:53" ht="17.25" customHeight="1" x14ac:dyDescent="0.4">
      <c r="A63" s="678" t="str">
        <f t="shared" ref="A63:A67" ca="1" si="152">INDIRECT("U12組合せ!h"&amp;(ROW()-1)/2-11)</f>
        <v>細谷サッカークラブ</v>
      </c>
      <c r="B63" s="679"/>
      <c r="C63" s="679"/>
      <c r="D63" s="680"/>
      <c r="E63" s="664"/>
      <c r="F63" s="658"/>
      <c r="G63" s="627"/>
      <c r="H63" s="623"/>
      <c r="I63" s="664"/>
      <c r="J63" s="658"/>
      <c r="K63" s="627"/>
      <c r="L63" s="623"/>
      <c r="M63" s="664"/>
      <c r="N63" s="658"/>
      <c r="O63" s="627"/>
      <c r="P63" s="623"/>
      <c r="Q63" s="664"/>
      <c r="R63" s="658"/>
      <c r="S63" s="627"/>
      <c r="T63" s="623"/>
      <c r="U63" s="664"/>
      <c r="V63" s="658"/>
      <c r="W63" s="627"/>
      <c r="X63" s="623"/>
      <c r="Y63" s="664"/>
      <c r="Z63" s="658"/>
      <c r="AA63" s="627"/>
      <c r="AB63" s="623"/>
      <c r="AC63" s="619"/>
      <c r="AD63" s="620"/>
      <c r="AE63" s="620"/>
      <c r="AF63" s="621"/>
      <c r="AG63" s="664"/>
      <c r="AH63" s="662"/>
      <c r="AI63" s="631"/>
      <c r="AJ63" s="656"/>
      <c r="AK63" s="664"/>
      <c r="AL63" s="662"/>
      <c r="AM63" s="631"/>
      <c r="AN63" s="656"/>
      <c r="AO63" s="156"/>
      <c r="AP63" s="156"/>
      <c r="AQ63" s="156"/>
      <c r="AR63" s="156"/>
      <c r="AS63" s="648"/>
      <c r="AT63" s="644"/>
      <c r="AU63" s="640"/>
      <c r="AV63" s="637"/>
      <c r="AW63" s="635"/>
      <c r="AX63" s="635"/>
      <c r="AY63" s="635"/>
      <c r="AZ63" s="635"/>
      <c r="BA63" s="247"/>
    </row>
    <row r="64" spans="1:53" ht="17.25" customHeight="1" x14ac:dyDescent="0.4">
      <c r="A64" s="675" t="s">
        <v>91</v>
      </c>
      <c r="B64" s="676"/>
      <c r="C64" s="676"/>
      <c r="D64" s="677"/>
      <c r="E64" s="663" t="str">
        <f>IF(OR(F64="",H64=""),"",IF(F64&gt;H64,"○",IF(F64&lt;H64,"×",IF(F64=H64,"△"))))</f>
        <v/>
      </c>
      <c r="F64" s="657" t="str">
        <f>IF(AJ50="","",AJ50)</f>
        <v/>
      </c>
      <c r="G64" s="626" t="s">
        <v>30</v>
      </c>
      <c r="H64" s="622" t="str">
        <f>IF(AH50="","",AH50)</f>
        <v/>
      </c>
      <c r="I64" s="663" t="str">
        <f t="shared" si="140"/>
        <v>×</v>
      </c>
      <c r="J64" s="657">
        <f>IF(AJ52="","",AJ52)</f>
        <v>0</v>
      </c>
      <c r="K64" s="626" t="s">
        <v>30</v>
      </c>
      <c r="L64" s="622">
        <f>IF(AH52="","",AH52)</f>
        <v>1</v>
      </c>
      <c r="M64" s="663" t="str">
        <f t="shared" si="143"/>
        <v/>
      </c>
      <c r="N64" s="657" t="str">
        <f>IF(AJ54="","",AJ54)</f>
        <v/>
      </c>
      <c r="O64" s="626" t="s">
        <v>30</v>
      </c>
      <c r="P64" s="622" t="str">
        <f>IF(AH54="","",AH54)</f>
        <v/>
      </c>
      <c r="Q64" s="663" t="str">
        <f>IF(OR(R64="",T64=""),"",IF(R64&gt;T64,"○",IF(R64&lt;T64,"×",IF(R64=T64,"△"))))</f>
        <v/>
      </c>
      <c r="R64" s="657" t="str">
        <f>IF(AJ56="","",AJ56)</f>
        <v/>
      </c>
      <c r="S64" s="626" t="s">
        <v>30</v>
      </c>
      <c r="T64" s="622" t="str">
        <f>IF(AH56="","",AH56)</f>
        <v/>
      </c>
      <c r="U64" s="663" t="str">
        <f t="shared" si="141"/>
        <v>×</v>
      </c>
      <c r="V64" s="657">
        <f>IF(AJ58="","",AJ58)</f>
        <v>0</v>
      </c>
      <c r="W64" s="626" t="s">
        <v>30</v>
      </c>
      <c r="X64" s="622">
        <f>IF(AH58="","",AH58)</f>
        <v>2</v>
      </c>
      <c r="Y64" s="663" t="str">
        <f t="shared" si="144"/>
        <v/>
      </c>
      <c r="Z64" s="657" t="str">
        <f>IF(AJ60="","",AJ60)</f>
        <v/>
      </c>
      <c r="AA64" s="626" t="s">
        <v>30</v>
      </c>
      <c r="AB64" s="622" t="str">
        <f>IF(AH60="","",AH60)</f>
        <v/>
      </c>
      <c r="AC64" s="663" t="str">
        <f>IF(OR(AD64="",AF64=""),"",IF(AD64&gt;AF64,"○",IF(AD64&lt;AF64,"×",IF(AD64=AF64,"△"))))</f>
        <v>×</v>
      </c>
      <c r="AD64" s="657">
        <f>IF(AJ62="","",AJ62)</f>
        <v>0</v>
      </c>
      <c r="AE64" s="626" t="s">
        <v>30</v>
      </c>
      <c r="AF64" s="622">
        <f>IF(AH62="","",AH62)</f>
        <v>1</v>
      </c>
      <c r="AG64" s="616"/>
      <c r="AH64" s="617"/>
      <c r="AI64" s="617"/>
      <c r="AJ64" s="618"/>
      <c r="AK64" s="663" t="str">
        <f>IF(OR(AL64="",AN64=""),"",IF(AL64&gt;AN64,"○",IF(AL64&lt;AN64,"×",IF(AL64=AN64,"△"))))</f>
        <v>○</v>
      </c>
      <c r="AL64" s="661">
        <f>'Ｃ＋Ｄブロック対戦表'!Q21</f>
        <v>5</v>
      </c>
      <c r="AM64" s="630" t="s">
        <v>30</v>
      </c>
      <c r="AN64" s="655">
        <f>'Ｃ＋Ｄブロック対戦表'!V21</f>
        <v>0</v>
      </c>
      <c r="AO64" s="155"/>
      <c r="AP64" s="155"/>
      <c r="AQ64" s="155"/>
      <c r="AR64" s="155"/>
      <c r="AS64" s="647">
        <f t="shared" si="145"/>
        <v>4</v>
      </c>
      <c r="AT64" s="643">
        <f t="shared" si="146"/>
        <v>3</v>
      </c>
      <c r="AU64" s="639">
        <f t="shared" si="147"/>
        <v>0.25</v>
      </c>
      <c r="AV64" s="634">
        <f t="shared" ref="AV64" si="153">AW64-SUM(H64,L64,P64,T64,X64,AB64,AF64,AJ64,AN64,AR64)</f>
        <v>1</v>
      </c>
      <c r="AW64" s="634">
        <f t="shared" si="149"/>
        <v>5</v>
      </c>
      <c r="AX64" s="634">
        <f t="shared" si="150"/>
        <v>0.25105</v>
      </c>
      <c r="AY64" s="634">
        <f t="shared" si="151"/>
        <v>6</v>
      </c>
      <c r="AZ64" s="634">
        <f>RANK(AX64,$AX$4:$AX$87)</f>
        <v>27</v>
      </c>
      <c r="BA64" s="247"/>
    </row>
    <row r="65" spans="1:53" ht="17.25" customHeight="1" x14ac:dyDescent="0.4">
      <c r="A65" s="678" t="str">
        <f t="shared" ca="1" si="152"/>
        <v>ＦＣ Ｒｉｓｏ</v>
      </c>
      <c r="B65" s="679"/>
      <c r="C65" s="679"/>
      <c r="D65" s="680"/>
      <c r="E65" s="664"/>
      <c r="F65" s="658"/>
      <c r="G65" s="627"/>
      <c r="H65" s="623"/>
      <c r="I65" s="664"/>
      <c r="J65" s="658"/>
      <c r="K65" s="627"/>
      <c r="L65" s="623"/>
      <c r="M65" s="664"/>
      <c r="N65" s="658"/>
      <c r="O65" s="627"/>
      <c r="P65" s="623"/>
      <c r="Q65" s="664"/>
      <c r="R65" s="658"/>
      <c r="S65" s="627"/>
      <c r="T65" s="623"/>
      <c r="U65" s="664"/>
      <c r="V65" s="658"/>
      <c r="W65" s="627"/>
      <c r="X65" s="623"/>
      <c r="Y65" s="664"/>
      <c r="Z65" s="658"/>
      <c r="AA65" s="627"/>
      <c r="AB65" s="623"/>
      <c r="AC65" s="664"/>
      <c r="AD65" s="658"/>
      <c r="AE65" s="627"/>
      <c r="AF65" s="623"/>
      <c r="AG65" s="619"/>
      <c r="AH65" s="620"/>
      <c r="AI65" s="620"/>
      <c r="AJ65" s="621"/>
      <c r="AK65" s="664"/>
      <c r="AL65" s="662"/>
      <c r="AM65" s="631"/>
      <c r="AN65" s="656"/>
      <c r="AO65" s="156"/>
      <c r="AP65" s="156"/>
      <c r="AQ65" s="156"/>
      <c r="AR65" s="156"/>
      <c r="AS65" s="648"/>
      <c r="AT65" s="644"/>
      <c r="AU65" s="640"/>
      <c r="AV65" s="637"/>
      <c r="AW65" s="635"/>
      <c r="AX65" s="635"/>
      <c r="AY65" s="635"/>
      <c r="AZ65" s="635"/>
      <c r="BA65" s="247"/>
    </row>
    <row r="66" spans="1:53" ht="17.25" customHeight="1" x14ac:dyDescent="0.4">
      <c r="A66" s="675" t="s">
        <v>92</v>
      </c>
      <c r="B66" s="676"/>
      <c r="C66" s="676"/>
      <c r="D66" s="677"/>
      <c r="E66" s="663" t="str">
        <f>IF(OR(F66="",H66=""),"",IF(F66&gt;H66,"○",IF(F66&lt;H66,"×",IF(F66=H66,"△"))))</f>
        <v/>
      </c>
      <c r="F66" s="657" t="str">
        <f>IF(AN50="","",AN50)</f>
        <v/>
      </c>
      <c r="G66" s="626" t="s">
        <v>30</v>
      </c>
      <c r="H66" s="622" t="str">
        <f>IF(AL50="","",AL50)</f>
        <v/>
      </c>
      <c r="I66" s="663" t="str">
        <f>IF(OR(J66="",L66=""),"",IF(J66&gt;L66,"○",IF(J66&lt;L66,"×",IF(J66=L66,"△"))))</f>
        <v/>
      </c>
      <c r="J66" s="657" t="str">
        <f>IF(AN52="","",AN52)</f>
        <v/>
      </c>
      <c r="K66" s="626" t="s">
        <v>30</v>
      </c>
      <c r="L66" s="622" t="str">
        <f>IF(AL52="","",AL52)</f>
        <v/>
      </c>
      <c r="M66" s="663" t="str">
        <f t="shared" si="143"/>
        <v>○</v>
      </c>
      <c r="N66" s="657">
        <f>IF(AN54="","",AN54)</f>
        <v>1</v>
      </c>
      <c r="O66" s="626" t="s">
        <v>30</v>
      </c>
      <c r="P66" s="622">
        <f>IF(AL54="","",AL54)</f>
        <v>0</v>
      </c>
      <c r="Q66" s="663" t="str">
        <f>IF(OR(R66="",T66=""),"",IF(R66&gt;T66,"○",IF(R66&lt;T66,"×",IF(R66=T66,"△"))))</f>
        <v/>
      </c>
      <c r="R66" s="657" t="str">
        <f>IF(AN56="","",AN56)</f>
        <v/>
      </c>
      <c r="S66" s="626" t="s">
        <v>30</v>
      </c>
      <c r="T66" s="622" t="str">
        <f>IF(AL56="","",AL56)</f>
        <v/>
      </c>
      <c r="U66" s="663" t="str">
        <f>IF(OR(V66="",X66=""),"",IF(V66&gt;X66,"○",IF(V66&lt;X66,"×",IF(V66=X66,"△"))))</f>
        <v/>
      </c>
      <c r="V66" s="657" t="str">
        <f>IF(AN58="","",AN58)</f>
        <v/>
      </c>
      <c r="W66" s="626" t="s">
        <v>30</v>
      </c>
      <c r="X66" s="622" t="str">
        <f>IF(AL58="","",AL58)</f>
        <v/>
      </c>
      <c r="Y66" s="663" t="str">
        <f t="shared" si="144"/>
        <v>×</v>
      </c>
      <c r="Z66" s="657">
        <f>IF(AN60="","",AN60)</f>
        <v>0</v>
      </c>
      <c r="AA66" s="626" t="s">
        <v>30</v>
      </c>
      <c r="AB66" s="622">
        <f>IF(AL60="","",AL60)</f>
        <v>3</v>
      </c>
      <c r="AC66" s="663" t="str">
        <f>IF(OR(AD66="",AF66=""),"",IF(AD66&gt;AF66,"○",IF(AD66&lt;AF66,"×",IF(AD66=AF66,"△"))))</f>
        <v>×</v>
      </c>
      <c r="AD66" s="657">
        <f>IF(AN62="","",AN62)</f>
        <v>1</v>
      </c>
      <c r="AE66" s="626" t="s">
        <v>30</v>
      </c>
      <c r="AF66" s="622">
        <f>IF(AL62="","",AL62)</f>
        <v>5</v>
      </c>
      <c r="AG66" s="663" t="str">
        <f>IF(OR(AH66="",AJ66=""),"",IF(AH66&gt;AJ66,"○",IF(AH66&lt;AJ66,"×",IF(AH66=AJ66,"△"))))</f>
        <v>×</v>
      </c>
      <c r="AH66" s="657">
        <f>IF(AN64="","",AN64)</f>
        <v>0</v>
      </c>
      <c r="AI66" s="626" t="s">
        <v>30</v>
      </c>
      <c r="AJ66" s="622">
        <f>IF(AL64="","",AL64)</f>
        <v>5</v>
      </c>
      <c r="AK66" s="616"/>
      <c r="AL66" s="617"/>
      <c r="AM66" s="617"/>
      <c r="AN66" s="618"/>
      <c r="AO66" s="155"/>
      <c r="AP66" s="155"/>
      <c r="AQ66" s="155"/>
      <c r="AR66" s="155"/>
      <c r="AS66" s="647">
        <f t="shared" si="145"/>
        <v>4</v>
      </c>
      <c r="AT66" s="643">
        <f t="shared" si="146"/>
        <v>3</v>
      </c>
      <c r="AU66" s="639">
        <f t="shared" si="147"/>
        <v>0.25</v>
      </c>
      <c r="AV66" s="634">
        <f t="shared" ref="AV66" si="154">AW66-SUM(H66,L66,P66,T66,X66,AB66,AF66,AJ66,AN66,AR66)</f>
        <v>-11</v>
      </c>
      <c r="AW66" s="634">
        <f t="shared" si="149"/>
        <v>2</v>
      </c>
      <c r="AX66" s="634">
        <f t="shared" si="150"/>
        <v>0.23901999999999998</v>
      </c>
      <c r="AY66" s="634">
        <f t="shared" si="151"/>
        <v>7</v>
      </c>
      <c r="AZ66" s="634">
        <f>RANK(AX66,$AX$4:$AX$87)</f>
        <v>28</v>
      </c>
      <c r="BA66" s="247"/>
    </row>
    <row r="67" spans="1:53" ht="17.25" customHeight="1" x14ac:dyDescent="0.4">
      <c r="A67" s="678" t="str">
        <f t="shared" ca="1" si="152"/>
        <v>上三川ＦＣ</v>
      </c>
      <c r="B67" s="679"/>
      <c r="C67" s="679"/>
      <c r="D67" s="680"/>
      <c r="E67" s="664"/>
      <c r="F67" s="658"/>
      <c r="G67" s="627"/>
      <c r="H67" s="623"/>
      <c r="I67" s="664"/>
      <c r="J67" s="658"/>
      <c r="K67" s="627"/>
      <c r="L67" s="623"/>
      <c r="M67" s="664"/>
      <c r="N67" s="658"/>
      <c r="O67" s="627"/>
      <c r="P67" s="623"/>
      <c r="Q67" s="664"/>
      <c r="R67" s="658"/>
      <c r="S67" s="627"/>
      <c r="T67" s="623"/>
      <c r="U67" s="664"/>
      <c r="V67" s="658"/>
      <c r="W67" s="627"/>
      <c r="X67" s="623"/>
      <c r="Y67" s="664"/>
      <c r="Z67" s="658"/>
      <c r="AA67" s="627"/>
      <c r="AB67" s="623"/>
      <c r="AC67" s="664"/>
      <c r="AD67" s="658"/>
      <c r="AE67" s="627"/>
      <c r="AF67" s="623"/>
      <c r="AG67" s="664"/>
      <c r="AH67" s="658"/>
      <c r="AI67" s="627"/>
      <c r="AJ67" s="623"/>
      <c r="AK67" s="619"/>
      <c r="AL67" s="620"/>
      <c r="AM67" s="620"/>
      <c r="AN67" s="621"/>
      <c r="AO67" s="156"/>
      <c r="AP67" s="156"/>
      <c r="AQ67" s="156"/>
      <c r="AR67" s="156"/>
      <c r="AS67" s="648"/>
      <c r="AT67" s="644"/>
      <c r="AU67" s="640"/>
      <c r="AV67" s="637"/>
      <c r="AW67" s="635"/>
      <c r="AX67" s="635"/>
      <c r="AY67" s="635"/>
      <c r="AZ67" s="635"/>
      <c r="BA67" s="247"/>
    </row>
    <row r="68" spans="1:53" x14ac:dyDescent="0.4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252"/>
      <c r="AV68" s="252"/>
      <c r="AW68" s="252"/>
      <c r="AX68" s="252"/>
      <c r="AY68" s="252"/>
      <c r="AZ68" s="251"/>
    </row>
    <row r="69" spans="1:53" x14ac:dyDescent="0.4">
      <c r="A69" s="681" t="s">
        <v>93</v>
      </c>
      <c r="B69" s="681"/>
      <c r="C69" s="681"/>
      <c r="D69" s="681"/>
      <c r="E69" s="681" t="str">
        <f ca="1">A71</f>
        <v>本郷北ＦＣ</v>
      </c>
      <c r="F69" s="681"/>
      <c r="G69" s="681"/>
      <c r="H69" s="681"/>
      <c r="I69" s="682" t="str">
        <f ca="1">A73</f>
        <v>みはらＳＣjr</v>
      </c>
      <c r="J69" s="682"/>
      <c r="K69" s="682"/>
      <c r="L69" s="682"/>
      <c r="M69" s="682" t="str">
        <f ca="1">A75</f>
        <v>Ｓ４スペランツァ</v>
      </c>
      <c r="N69" s="682"/>
      <c r="O69" s="682"/>
      <c r="P69" s="682"/>
      <c r="Q69" s="682" t="str">
        <f ca="1">A77</f>
        <v>カテット白沢ＳＳ</v>
      </c>
      <c r="R69" s="682"/>
      <c r="S69" s="682"/>
      <c r="T69" s="682"/>
      <c r="U69" s="681" t="str">
        <f ca="1">A79</f>
        <v>雀宮ＦＣ</v>
      </c>
      <c r="V69" s="681"/>
      <c r="W69" s="681"/>
      <c r="X69" s="681"/>
      <c r="Y69" s="682" t="str">
        <f ca="1">A81</f>
        <v>富士見ＳＳＳ</v>
      </c>
      <c r="Z69" s="682"/>
      <c r="AA69" s="682"/>
      <c r="AB69" s="682"/>
      <c r="AC69" s="682" t="str">
        <f ca="1">A83</f>
        <v>ＦＣみらいＶ</v>
      </c>
      <c r="AD69" s="682"/>
      <c r="AE69" s="682"/>
      <c r="AF69" s="682"/>
      <c r="AG69" s="682" t="str">
        <f ca="1">A85</f>
        <v>上河内ＪＳＣ</v>
      </c>
      <c r="AH69" s="682"/>
      <c r="AI69" s="682"/>
      <c r="AJ69" s="682"/>
      <c r="AK69" s="682" t="str">
        <f ca="1">A87</f>
        <v>ジュベニール</v>
      </c>
      <c r="AL69" s="682"/>
      <c r="AM69" s="682"/>
      <c r="AN69" s="682"/>
      <c r="AO69" s="237"/>
      <c r="AP69" s="237"/>
      <c r="AQ69" s="237"/>
      <c r="AR69" s="237"/>
      <c r="AS69" s="242" t="s">
        <v>57</v>
      </c>
      <c r="AT69" s="243" t="s">
        <v>56</v>
      </c>
      <c r="AU69" s="244" t="s">
        <v>60</v>
      </c>
      <c r="AV69" s="244" t="s">
        <v>58</v>
      </c>
      <c r="AW69" s="244" t="s">
        <v>28</v>
      </c>
      <c r="AX69" s="244"/>
      <c r="AY69" s="244" t="s">
        <v>61</v>
      </c>
      <c r="AZ69" s="245" t="s">
        <v>62</v>
      </c>
      <c r="BA69" s="246"/>
    </row>
    <row r="70" spans="1:53" ht="17.25" customHeight="1" x14ac:dyDescent="0.4">
      <c r="A70" s="675" t="s">
        <v>94</v>
      </c>
      <c r="B70" s="676"/>
      <c r="C70" s="676"/>
      <c r="D70" s="676"/>
      <c r="E70" s="616"/>
      <c r="F70" s="617"/>
      <c r="G70" s="617"/>
      <c r="H70" s="618"/>
      <c r="I70" s="663" t="str">
        <f>IF(OR(J70="",L70=""),"",IF(J70&gt;L70,"○",IF(J70&lt;L70,"×",IF(J70=L70,"△"))))</f>
        <v>○</v>
      </c>
      <c r="J70" s="661">
        <f>Ｄブロック対戦表!Q13</f>
        <v>2</v>
      </c>
      <c r="K70" s="630" t="s">
        <v>30</v>
      </c>
      <c r="L70" s="655">
        <f>Ｄブロック対戦表!V13</f>
        <v>0</v>
      </c>
      <c r="M70" s="663" t="str">
        <f>IF(OR(N70="",P70=""),"",IF(N70&gt;P70,"○",IF(N70&lt;P70,"×",IF(N70=P70,"△"))))</f>
        <v>×</v>
      </c>
      <c r="N70" s="661">
        <f>Ｄブロック対戦表!V17</f>
        <v>1</v>
      </c>
      <c r="O70" s="630" t="s">
        <v>30</v>
      </c>
      <c r="P70" s="655">
        <f>Ｄブロック対戦表!Q17</f>
        <v>6</v>
      </c>
      <c r="Q70" s="663" t="str">
        <f t="shared" ref="Q70:Q74" si="155">IF(OR(R70="",T70=""),"",IF(R70&gt;T70,"○",IF(R70&lt;T70,"×",IF(R70=T70,"△"))))</f>
        <v>○</v>
      </c>
      <c r="R70" s="671">
        <f>Ｄブロック対戦表!Q54</f>
        <v>1</v>
      </c>
      <c r="S70" s="628" t="s">
        <v>30</v>
      </c>
      <c r="T70" s="624">
        <f>Ｄブロック対戦表!V54</f>
        <v>0</v>
      </c>
      <c r="U70" s="663" t="str">
        <f t="shared" ref="U70:U74" si="156">IF(OR(V70="",X70=""),"",IF(V70&gt;X70,"○",IF(V70&lt;X70,"×",IF(V70=X70,"△"))))</f>
        <v/>
      </c>
      <c r="V70" s="657" t="str">
        <f>Ｄブロック対戦表!Q81</f>
        <v/>
      </c>
      <c r="W70" s="626" t="s">
        <v>30</v>
      </c>
      <c r="X70" s="622" t="str">
        <f>Ｄブロック対戦表!V81</f>
        <v/>
      </c>
      <c r="Y70" s="663" t="str">
        <f t="shared" ref="Y70:Y74" si="157">IF(OR(Z70="",AB70=""),"",IF(Z70&gt;AB70,"○",IF(Z70&lt;AB70,"×",IF(Z70=AB70,"△"))))</f>
        <v/>
      </c>
      <c r="Z70" s="657" t="str">
        <f>Ｄブロック対戦表!Q106</f>
        <v/>
      </c>
      <c r="AA70" s="626" t="s">
        <v>30</v>
      </c>
      <c r="AB70" s="622" t="str">
        <f>Ｄブロック対戦表!V106</f>
        <v/>
      </c>
      <c r="AC70" s="663" t="str">
        <f t="shared" ref="AC70:AC74" si="158">IF(OR(AD70="",AF70=""),"",IF(AD70&gt;AF70,"○",IF(AD70&lt;AF70,"×",IF(AD70=AF70,"△"))))</f>
        <v>×</v>
      </c>
      <c r="AD70" s="659">
        <f>Ｄブロック対戦表!V46</f>
        <v>0</v>
      </c>
      <c r="AE70" s="628" t="s">
        <v>30</v>
      </c>
      <c r="AF70" s="624">
        <f>Ｄブロック対戦表!Q46</f>
        <v>1</v>
      </c>
      <c r="AG70" s="663" t="str">
        <f t="shared" ref="AG70:AG74" si="159">IF(OR(AH70="",AJ70=""),"",IF(AH70&gt;AJ70,"○",IF(AH70&lt;AJ70,"×",IF(AH70=AJ70,"△"))))</f>
        <v/>
      </c>
      <c r="AH70" s="657" t="str">
        <f>Ｄブロック対戦表!V110</f>
        <v/>
      </c>
      <c r="AI70" s="626" t="s">
        <v>30</v>
      </c>
      <c r="AJ70" s="622" t="str">
        <f>Ｄブロック対戦表!Q110</f>
        <v/>
      </c>
      <c r="AK70" s="663" t="str">
        <f t="shared" ref="AK70:AK74" si="160">IF(OR(AL70="",AN70=""),"",IF(AL70&gt;AN70,"○",IF(AL70&lt;AN70,"×",IF(AL70=AN70,"△"))))</f>
        <v/>
      </c>
      <c r="AL70" s="657" t="str">
        <f>Ｄブロック対戦表!V85</f>
        <v/>
      </c>
      <c r="AM70" s="626" t="s">
        <v>30</v>
      </c>
      <c r="AN70" s="622" t="str">
        <f>Ｄブロック対戦表!Q85</f>
        <v/>
      </c>
      <c r="AO70" s="155"/>
      <c r="AP70" s="155"/>
      <c r="AQ70" s="155"/>
      <c r="AR70" s="155"/>
      <c r="AS70" s="647">
        <f t="shared" ref="AS70:AS74" si="161">COUNTIF(E70:AN71,"○")+COUNTIF(E70:AN71,"×")+COUNTIF(E70:AN71,"△")</f>
        <v>4</v>
      </c>
      <c r="AT70" s="645">
        <f t="shared" ref="AT70:AT74" si="162">COUNTIF(E70:AN71,"○")*3+COUNTIF(E70:AN71,"△")</f>
        <v>6</v>
      </c>
      <c r="AU70" s="641">
        <f t="shared" ref="AU70:AU74" si="163">IF(AS70=0,0,AT70/(AS70*3))</f>
        <v>0.5</v>
      </c>
      <c r="AV70" s="634">
        <f t="shared" ref="AV70" si="164">AW70-SUM(H70,L70,P70,T70,X70,AB70,AF70,AJ70,AN70,AR70)</f>
        <v>-3</v>
      </c>
      <c r="AW70" s="634">
        <f t="shared" ref="AW70:AW74" si="165">SUM(F70,J70,N70,R70,V70,Z70,AD70,AH70,AL70,AP70)</f>
        <v>4</v>
      </c>
      <c r="AX70" s="634">
        <f t="shared" ref="AX70:AX74" si="166">AU70+AV70*0.001+AW70*0.00001</f>
        <v>0.49703999999999998</v>
      </c>
      <c r="AY70" s="636">
        <f t="shared" ref="AY70:AY74" si="167">RANK(AX70,$AX$70:$AX$87)</f>
        <v>5</v>
      </c>
      <c r="AZ70" s="634">
        <f>RANK(AX70,$AX$4:$AX$87)</f>
        <v>16</v>
      </c>
      <c r="BA70" s="247"/>
    </row>
    <row r="71" spans="1:53" ht="17.25" customHeight="1" x14ac:dyDescent="0.4">
      <c r="A71" s="678" t="str">
        <f t="shared" ref="A71:A75" ca="1" si="168">INDIRECT("U12組合せ!j"&amp;(ROW()-1)/2-21)</f>
        <v>本郷北ＦＣ</v>
      </c>
      <c r="B71" s="679"/>
      <c r="C71" s="679"/>
      <c r="D71" s="680"/>
      <c r="E71" s="619"/>
      <c r="F71" s="620"/>
      <c r="G71" s="620"/>
      <c r="H71" s="621"/>
      <c r="I71" s="664"/>
      <c r="J71" s="662"/>
      <c r="K71" s="631"/>
      <c r="L71" s="656"/>
      <c r="M71" s="664"/>
      <c r="N71" s="662"/>
      <c r="O71" s="631"/>
      <c r="P71" s="656"/>
      <c r="Q71" s="664"/>
      <c r="R71" s="672"/>
      <c r="S71" s="629"/>
      <c r="T71" s="625"/>
      <c r="U71" s="664"/>
      <c r="V71" s="658"/>
      <c r="W71" s="627"/>
      <c r="X71" s="623"/>
      <c r="Y71" s="664"/>
      <c r="Z71" s="658"/>
      <c r="AA71" s="627"/>
      <c r="AB71" s="623"/>
      <c r="AC71" s="664"/>
      <c r="AD71" s="660"/>
      <c r="AE71" s="629"/>
      <c r="AF71" s="625"/>
      <c r="AG71" s="664"/>
      <c r="AH71" s="658"/>
      <c r="AI71" s="627"/>
      <c r="AJ71" s="623"/>
      <c r="AK71" s="664"/>
      <c r="AL71" s="658"/>
      <c r="AM71" s="627"/>
      <c r="AN71" s="623"/>
      <c r="AO71" s="156"/>
      <c r="AP71" s="156"/>
      <c r="AQ71" s="156"/>
      <c r="AR71" s="156"/>
      <c r="AS71" s="648"/>
      <c r="AT71" s="646"/>
      <c r="AU71" s="642"/>
      <c r="AV71" s="637"/>
      <c r="AW71" s="637"/>
      <c r="AX71" s="637"/>
      <c r="AY71" s="635"/>
      <c r="AZ71" s="635"/>
      <c r="BA71" s="247"/>
    </row>
    <row r="72" spans="1:53" ht="17.25" customHeight="1" x14ac:dyDescent="0.4">
      <c r="A72" s="675" t="s">
        <v>95</v>
      </c>
      <c r="B72" s="676"/>
      <c r="C72" s="676"/>
      <c r="D72" s="677"/>
      <c r="E72" s="663" t="str">
        <f t="shared" ref="E72:E76" si="169">IF(OR(F72="",H72=""),"",IF(F72&gt;H72,"○",IF(F72&lt;H72,"×",IF(F72=H72,"△"))))</f>
        <v>×</v>
      </c>
      <c r="F72" s="657">
        <f>IF(L70="","",L70)</f>
        <v>0</v>
      </c>
      <c r="G72" s="626" t="s">
        <v>30</v>
      </c>
      <c r="H72" s="622">
        <f>IF(J70="","",J70)</f>
        <v>2</v>
      </c>
      <c r="I72" s="616"/>
      <c r="J72" s="617"/>
      <c r="K72" s="617"/>
      <c r="L72" s="618"/>
      <c r="M72" s="663" t="str">
        <f>IF(OR(N72="",P72=""),"",IF(N72&gt;P72,"○",IF(N72&lt;P72,"×",IF(N72=P72,"△"))))</f>
        <v>×</v>
      </c>
      <c r="N72" s="661">
        <f>Ｄブロック対戦表!Q21</f>
        <v>0</v>
      </c>
      <c r="O72" s="630" t="s">
        <v>30</v>
      </c>
      <c r="P72" s="655">
        <f>Ｄブロック対戦表!V21</f>
        <v>8</v>
      </c>
      <c r="Q72" s="663" t="str">
        <f t="shared" si="155"/>
        <v/>
      </c>
      <c r="R72" s="657" t="str">
        <f>Ｄブロック対戦表!Q108</f>
        <v/>
      </c>
      <c r="S72" s="626" t="s">
        <v>30</v>
      </c>
      <c r="T72" s="622" t="str">
        <f>Ｄブロック対戦表!V108</f>
        <v/>
      </c>
      <c r="U72" s="663" t="str">
        <f t="shared" si="156"/>
        <v>×</v>
      </c>
      <c r="V72" s="659">
        <f>'Ｃ＋Ｄブロック対戦表'!Q54</f>
        <v>0</v>
      </c>
      <c r="W72" s="628" t="s">
        <v>30</v>
      </c>
      <c r="X72" s="624">
        <f>'Ｃ＋Ｄブロック対戦表'!V54</f>
        <v>5</v>
      </c>
      <c r="Y72" s="663" t="str">
        <f t="shared" si="157"/>
        <v/>
      </c>
      <c r="Z72" s="657" t="str">
        <f>Ｄブロック対戦表!Q79</f>
        <v/>
      </c>
      <c r="AA72" s="626" t="s">
        <v>30</v>
      </c>
      <c r="AB72" s="622" t="str">
        <f>Ｄブロック対戦表!V79</f>
        <v/>
      </c>
      <c r="AC72" s="663" t="str">
        <f t="shared" si="158"/>
        <v/>
      </c>
      <c r="AD72" s="657" t="str">
        <f>Ｄブロック対戦表!V83</f>
        <v/>
      </c>
      <c r="AE72" s="626" t="s">
        <v>30</v>
      </c>
      <c r="AF72" s="622" t="str">
        <f>Ｄブロック対戦表!Q83</f>
        <v/>
      </c>
      <c r="AG72" s="663" t="str">
        <f t="shared" si="159"/>
        <v>×</v>
      </c>
      <c r="AH72" s="659">
        <f>'Ｃ＋Ｄブロック対戦表'!V46</f>
        <v>0</v>
      </c>
      <c r="AI72" s="628" t="s">
        <v>30</v>
      </c>
      <c r="AJ72" s="624">
        <f>'Ｃ＋Ｄブロック対戦表'!Q46</f>
        <v>1</v>
      </c>
      <c r="AK72" s="663" t="str">
        <f t="shared" si="160"/>
        <v/>
      </c>
      <c r="AL72" s="657" t="str">
        <f>Ｄブロック対戦表!V112</f>
        <v/>
      </c>
      <c r="AM72" s="626" t="s">
        <v>30</v>
      </c>
      <c r="AN72" s="622" t="str">
        <f>Ｄブロック対戦表!Q112</f>
        <v/>
      </c>
      <c r="AO72" s="155"/>
      <c r="AP72" s="155"/>
      <c r="AQ72" s="155"/>
      <c r="AR72" s="155"/>
      <c r="AS72" s="647">
        <f t="shared" si="161"/>
        <v>4</v>
      </c>
      <c r="AT72" s="645">
        <f t="shared" si="162"/>
        <v>0</v>
      </c>
      <c r="AU72" s="641">
        <f t="shared" si="163"/>
        <v>0</v>
      </c>
      <c r="AV72" s="634">
        <f t="shared" ref="AV72" si="170">AW72-SUM(H72,L72,P72,T72,X72,AB72,AF72,AJ72,AN72,AR72)</f>
        <v>-16</v>
      </c>
      <c r="AW72" s="634">
        <f t="shared" si="165"/>
        <v>0</v>
      </c>
      <c r="AX72" s="634">
        <f t="shared" si="166"/>
        <v>-1.6E-2</v>
      </c>
      <c r="AY72" s="636">
        <f t="shared" si="167"/>
        <v>9</v>
      </c>
      <c r="AZ72" s="634">
        <f>RANK(AX72,$AX$4:$AX$87)</f>
        <v>38</v>
      </c>
      <c r="BA72" s="247"/>
    </row>
    <row r="73" spans="1:53" ht="17.25" customHeight="1" x14ac:dyDescent="0.4">
      <c r="A73" s="678" t="str">
        <f t="shared" ca="1" si="168"/>
        <v>みはらＳＣjr</v>
      </c>
      <c r="B73" s="679"/>
      <c r="C73" s="679"/>
      <c r="D73" s="680"/>
      <c r="E73" s="664"/>
      <c r="F73" s="658"/>
      <c r="G73" s="627"/>
      <c r="H73" s="623"/>
      <c r="I73" s="619"/>
      <c r="J73" s="620"/>
      <c r="K73" s="620"/>
      <c r="L73" s="621"/>
      <c r="M73" s="664"/>
      <c r="N73" s="662"/>
      <c r="O73" s="631"/>
      <c r="P73" s="656"/>
      <c r="Q73" s="664"/>
      <c r="R73" s="658"/>
      <c r="S73" s="627"/>
      <c r="T73" s="623"/>
      <c r="U73" s="664"/>
      <c r="V73" s="660"/>
      <c r="W73" s="629"/>
      <c r="X73" s="625"/>
      <c r="Y73" s="664"/>
      <c r="Z73" s="658"/>
      <c r="AA73" s="627"/>
      <c r="AB73" s="623"/>
      <c r="AC73" s="664"/>
      <c r="AD73" s="658"/>
      <c r="AE73" s="627"/>
      <c r="AF73" s="623"/>
      <c r="AG73" s="664"/>
      <c r="AH73" s="660"/>
      <c r="AI73" s="629"/>
      <c r="AJ73" s="625"/>
      <c r="AK73" s="664"/>
      <c r="AL73" s="658"/>
      <c r="AM73" s="627"/>
      <c r="AN73" s="623"/>
      <c r="AO73" s="156"/>
      <c r="AP73" s="156"/>
      <c r="AQ73" s="156"/>
      <c r="AR73" s="156"/>
      <c r="AS73" s="648"/>
      <c r="AT73" s="646"/>
      <c r="AU73" s="642"/>
      <c r="AV73" s="637"/>
      <c r="AW73" s="637"/>
      <c r="AX73" s="637"/>
      <c r="AY73" s="635"/>
      <c r="AZ73" s="635"/>
      <c r="BA73" s="247"/>
    </row>
    <row r="74" spans="1:53" ht="17.25" customHeight="1" x14ac:dyDescent="0.4">
      <c r="A74" s="675" t="s">
        <v>96</v>
      </c>
      <c r="B74" s="676"/>
      <c r="C74" s="676"/>
      <c r="D74" s="677"/>
      <c r="E74" s="663" t="str">
        <f t="shared" si="169"/>
        <v>○</v>
      </c>
      <c r="F74" s="657">
        <f>IF(P70="","",P70)</f>
        <v>6</v>
      </c>
      <c r="G74" s="626" t="s">
        <v>30</v>
      </c>
      <c r="H74" s="622">
        <f>IF(N70="","",N70)</f>
        <v>1</v>
      </c>
      <c r="I74" s="663" t="str">
        <f t="shared" ref="I74:I78" si="171">IF(OR(J74="",L74=""),"",IF(J74&gt;L74,"○",IF(J74&lt;L74,"×",IF(J74=L74,"△"))))</f>
        <v>○</v>
      </c>
      <c r="J74" s="657">
        <f>IF(P72="","",P72)</f>
        <v>8</v>
      </c>
      <c r="K74" s="626" t="s">
        <v>30</v>
      </c>
      <c r="L74" s="622">
        <f>IF(N72="","",N72)</f>
        <v>0</v>
      </c>
      <c r="M74" s="616"/>
      <c r="N74" s="617"/>
      <c r="O74" s="617"/>
      <c r="P74" s="618"/>
      <c r="Q74" s="663" t="str">
        <f t="shared" si="155"/>
        <v/>
      </c>
      <c r="R74" s="657" t="str">
        <f>'Ｃ＋Ｄブロック対戦表'!Q81</f>
        <v/>
      </c>
      <c r="S74" s="626" t="s">
        <v>30</v>
      </c>
      <c r="T74" s="622" t="str">
        <f>'Ｃ＋Ｄブロック対戦表'!V81</f>
        <v/>
      </c>
      <c r="U74" s="663" t="str">
        <f t="shared" si="156"/>
        <v/>
      </c>
      <c r="V74" s="657" t="str">
        <f>'Ｃ＋Ｄブロック対戦表'!Q108</f>
        <v/>
      </c>
      <c r="W74" s="626" t="s">
        <v>30</v>
      </c>
      <c r="X74" s="622" t="str">
        <f>'Ｃ＋Ｄブロック対戦表'!V108</f>
        <v/>
      </c>
      <c r="Y74" s="663" t="str">
        <f t="shared" si="157"/>
        <v>○</v>
      </c>
      <c r="Z74" s="659">
        <f>Ｄブロック対戦表!Q52</f>
        <v>4</v>
      </c>
      <c r="AA74" s="628" t="s">
        <v>30</v>
      </c>
      <c r="AB74" s="624">
        <f>Ｄブロック対戦表!V52</f>
        <v>0</v>
      </c>
      <c r="AC74" s="663" t="str">
        <f t="shared" si="158"/>
        <v/>
      </c>
      <c r="AD74" s="657" t="str">
        <f>'Ｃ＋Ｄブロック対戦表'!V112</f>
        <v/>
      </c>
      <c r="AE74" s="626" t="s">
        <v>30</v>
      </c>
      <c r="AF74" s="622" t="str">
        <f>'Ｃ＋Ｄブロック対戦表'!Q112</f>
        <v/>
      </c>
      <c r="AG74" s="663" t="str">
        <f t="shared" si="159"/>
        <v/>
      </c>
      <c r="AH74" s="657" t="str">
        <f>'Ｃ＋Ｄブロック対戦表'!V85</f>
        <v/>
      </c>
      <c r="AI74" s="626" t="s">
        <v>30</v>
      </c>
      <c r="AJ74" s="622" t="str">
        <f>'Ｃ＋Ｄブロック対戦表'!Q85</f>
        <v/>
      </c>
      <c r="AK74" s="663" t="str">
        <f t="shared" si="160"/>
        <v>○</v>
      </c>
      <c r="AL74" s="659">
        <f>Ｄブロック対戦表!V44</f>
        <v>5</v>
      </c>
      <c r="AM74" s="628" t="s">
        <v>30</v>
      </c>
      <c r="AN74" s="624">
        <f>Ｄブロック対戦表!Q44</f>
        <v>1</v>
      </c>
      <c r="AO74" s="155"/>
      <c r="AP74" s="155"/>
      <c r="AQ74" s="155"/>
      <c r="AR74" s="155"/>
      <c r="AS74" s="647">
        <f t="shared" si="161"/>
        <v>4</v>
      </c>
      <c r="AT74" s="645">
        <f t="shared" si="162"/>
        <v>12</v>
      </c>
      <c r="AU74" s="641">
        <f t="shared" si="163"/>
        <v>1</v>
      </c>
      <c r="AV74" s="634">
        <f t="shared" ref="AV74" si="172">AW74-SUM(H74,L74,P74,T74,X74,AB74,AF74,AJ74,AN74,AR74)</f>
        <v>21</v>
      </c>
      <c r="AW74" s="634">
        <f t="shared" si="165"/>
        <v>23</v>
      </c>
      <c r="AX74" s="634">
        <f t="shared" si="166"/>
        <v>1.0212299999999999</v>
      </c>
      <c r="AY74" s="636">
        <f t="shared" si="167"/>
        <v>1</v>
      </c>
      <c r="AZ74" s="634">
        <f>RANK(AX74,$AX$4:$AX$87)</f>
        <v>2</v>
      </c>
      <c r="BA74" s="247"/>
    </row>
    <row r="75" spans="1:53" ht="17.25" customHeight="1" x14ac:dyDescent="0.4">
      <c r="A75" s="678" t="str">
        <f t="shared" ca="1" si="168"/>
        <v>Ｓ４スペランツァ</v>
      </c>
      <c r="B75" s="679"/>
      <c r="C75" s="679"/>
      <c r="D75" s="680"/>
      <c r="E75" s="664"/>
      <c r="F75" s="658"/>
      <c r="G75" s="627"/>
      <c r="H75" s="623"/>
      <c r="I75" s="664"/>
      <c r="J75" s="658"/>
      <c r="K75" s="627"/>
      <c r="L75" s="623"/>
      <c r="M75" s="619"/>
      <c r="N75" s="620"/>
      <c r="O75" s="620"/>
      <c r="P75" s="621"/>
      <c r="Q75" s="664"/>
      <c r="R75" s="658"/>
      <c r="S75" s="627"/>
      <c r="T75" s="623"/>
      <c r="U75" s="664"/>
      <c r="V75" s="658"/>
      <c r="W75" s="627"/>
      <c r="X75" s="623"/>
      <c r="Y75" s="664"/>
      <c r="Z75" s="660"/>
      <c r="AA75" s="629"/>
      <c r="AB75" s="625"/>
      <c r="AC75" s="664"/>
      <c r="AD75" s="658"/>
      <c r="AE75" s="627"/>
      <c r="AF75" s="623"/>
      <c r="AG75" s="664"/>
      <c r="AH75" s="658"/>
      <c r="AI75" s="627"/>
      <c r="AJ75" s="623"/>
      <c r="AK75" s="664"/>
      <c r="AL75" s="660"/>
      <c r="AM75" s="629"/>
      <c r="AN75" s="625"/>
      <c r="AO75" s="156"/>
      <c r="AP75" s="156"/>
      <c r="AQ75" s="156"/>
      <c r="AR75" s="156"/>
      <c r="AS75" s="648"/>
      <c r="AT75" s="646"/>
      <c r="AU75" s="642"/>
      <c r="AV75" s="637"/>
      <c r="AW75" s="637"/>
      <c r="AX75" s="637"/>
      <c r="AY75" s="635"/>
      <c r="AZ75" s="635"/>
      <c r="BA75" s="247"/>
    </row>
    <row r="76" spans="1:53" ht="17.25" customHeight="1" x14ac:dyDescent="0.4">
      <c r="A76" s="675" t="s">
        <v>97</v>
      </c>
      <c r="B76" s="676"/>
      <c r="C76" s="676"/>
      <c r="D76" s="677"/>
      <c r="E76" s="663" t="str">
        <f t="shared" si="169"/>
        <v>×</v>
      </c>
      <c r="F76" s="657">
        <f>IF(T70="","",T70)</f>
        <v>0</v>
      </c>
      <c r="G76" s="626" t="s">
        <v>30</v>
      </c>
      <c r="H76" s="622">
        <f>IF(R70="","",R70)</f>
        <v>1</v>
      </c>
      <c r="I76" s="663" t="str">
        <f t="shared" si="171"/>
        <v/>
      </c>
      <c r="J76" s="657" t="str">
        <f>IF(T72="","",T72)</f>
        <v/>
      </c>
      <c r="K76" s="626" t="s">
        <v>30</v>
      </c>
      <c r="L76" s="622" t="str">
        <f>IF(R72="","",R72)</f>
        <v/>
      </c>
      <c r="M76" s="663" t="str">
        <f t="shared" ref="M76:M80" si="173">IF(OR(N76="",P76=""),"",IF(N76&gt;P76,"○",IF(N76&lt;P76,"×",IF(N76=P76,"△"))))</f>
        <v/>
      </c>
      <c r="N76" s="657" t="str">
        <f>IF(T74="","",T74)</f>
        <v/>
      </c>
      <c r="O76" s="626" t="s">
        <v>30</v>
      </c>
      <c r="P76" s="622" t="str">
        <f>IF(R74="","",R74)</f>
        <v/>
      </c>
      <c r="Q76" s="616"/>
      <c r="R76" s="617"/>
      <c r="S76" s="617"/>
      <c r="T76" s="618"/>
      <c r="U76" s="663" t="str">
        <f>IF(OR(V76="",X76=""),"",IF(V76&gt;X76,"○",IF(V76&lt;X76,"×",IF(V76=X76,"△"))))</f>
        <v>△</v>
      </c>
      <c r="V76" s="661">
        <f>Ｄブロック対戦表!Q15</f>
        <v>0</v>
      </c>
      <c r="W76" s="630" t="s">
        <v>30</v>
      </c>
      <c r="X76" s="655">
        <f>Ｄブロック対戦表!V15</f>
        <v>0</v>
      </c>
      <c r="Y76" s="663" t="str">
        <f>IF(OR(Z76="",AB76=""),"",IF(Z76&gt;AB76,"○",IF(Z76&lt;AB76,"×",IF(Z76=AB76,"△"))))</f>
        <v>○</v>
      </c>
      <c r="Z76" s="661">
        <f>Ｄブロック対戦表!V19</f>
        <v>2</v>
      </c>
      <c r="AA76" s="630" t="s">
        <v>30</v>
      </c>
      <c r="AB76" s="655">
        <f>Ｄブロック対戦表!Q19</f>
        <v>0</v>
      </c>
      <c r="AC76" s="663" t="str">
        <f t="shared" ref="AC76:AC80" si="174">IF(OR(AD76="",AF76=""),"",IF(AD76&gt;AF76,"○",IF(AD76&lt;AF76,"×",IF(AD76=AF76,"△"))))</f>
        <v>△</v>
      </c>
      <c r="AD76" s="659">
        <f>Ｄブロック対戦表!Q50</f>
        <v>0</v>
      </c>
      <c r="AE76" s="628" t="s">
        <v>30</v>
      </c>
      <c r="AF76" s="624">
        <f>Ｄブロック対戦表!V50</f>
        <v>0</v>
      </c>
      <c r="AG76" s="663" t="str">
        <f t="shared" ref="AG76:AG80" si="175">IF(OR(AH76="",AJ76=""),"",IF(AH76&gt;AJ76,"○",IF(AH76&lt;AJ76,"×",IF(AH76=AJ76,"△"))))</f>
        <v/>
      </c>
      <c r="AH76" s="657" t="str">
        <f>'Ｃ＋Ｄブロック対戦表'!Q77</f>
        <v/>
      </c>
      <c r="AI76" s="626" t="s">
        <v>30</v>
      </c>
      <c r="AJ76" s="622" t="str">
        <f>'Ｃ＋Ｄブロック対戦表'!V77</f>
        <v/>
      </c>
      <c r="AK76" s="663" t="str">
        <f t="shared" ref="AK76:AK80" si="176">IF(OR(AL76="",AN76=""),"",IF(AL76&gt;AN76,"○",IF(AL76&lt;AN76,"×",IF(AL76=AN76,"△"))))</f>
        <v/>
      </c>
      <c r="AL76" s="657" t="str">
        <f>Ｄブロック対戦表!Q116</f>
        <v/>
      </c>
      <c r="AM76" s="626" t="s">
        <v>30</v>
      </c>
      <c r="AN76" s="622" t="str">
        <f>Ｄブロック対戦表!V116</f>
        <v/>
      </c>
      <c r="AO76" s="155"/>
      <c r="AP76" s="155"/>
      <c r="AQ76" s="155"/>
      <c r="AR76" s="155"/>
      <c r="AS76" s="647">
        <f t="shared" ref="AS76:AS80" si="177">COUNTIF(E76:AN77,"○")+COUNTIF(E76:AN77,"×")+COUNTIF(E76:AN77,"△")</f>
        <v>4</v>
      </c>
      <c r="AT76" s="645">
        <f t="shared" ref="AT76:AT80" si="178">COUNTIF(E76:AN77,"○")*3+COUNTIF(E76:AN77,"△")</f>
        <v>5</v>
      </c>
      <c r="AU76" s="641">
        <f t="shared" ref="AU76:AU80" si="179">IF(AS76=0,0,AT76/(AS76*3))</f>
        <v>0.41666666666666669</v>
      </c>
      <c r="AV76" s="634">
        <f t="shared" ref="AV76" si="180">AW76-SUM(H76,L76,P76,T76,X76,AB76,AF76,AJ76,AN76,AR76)</f>
        <v>1</v>
      </c>
      <c r="AW76" s="634">
        <f t="shared" ref="AW76:AW80" si="181">SUM(F76,J76,N76,R76,V76,Z76,AD76,AH76,AL76,AP76)</f>
        <v>2</v>
      </c>
      <c r="AX76" s="634">
        <f t="shared" ref="AX76:AX80" si="182">AU76+AV76*0.001+AW76*0.00001</f>
        <v>0.41768666666666671</v>
      </c>
      <c r="AY76" s="636">
        <f t="shared" ref="AY76:AY80" si="183">RANK(AX76,$AX$70:$AX$87)</f>
        <v>6</v>
      </c>
      <c r="AZ76" s="634">
        <f>RANK(AX76,$AX$4:$AX$87)</f>
        <v>18</v>
      </c>
      <c r="BA76" s="247"/>
    </row>
    <row r="77" spans="1:53" ht="17.25" customHeight="1" x14ac:dyDescent="0.4">
      <c r="A77" s="678" t="str">
        <f t="shared" ref="A77:A81" ca="1" si="184">INDIRECT("U12組合せ!j"&amp;(ROW()-1)/2-21)</f>
        <v>カテット白沢ＳＳ</v>
      </c>
      <c r="B77" s="679"/>
      <c r="C77" s="679"/>
      <c r="D77" s="680"/>
      <c r="E77" s="664"/>
      <c r="F77" s="658"/>
      <c r="G77" s="627"/>
      <c r="H77" s="623"/>
      <c r="I77" s="664"/>
      <c r="J77" s="658"/>
      <c r="K77" s="627"/>
      <c r="L77" s="623"/>
      <c r="M77" s="664"/>
      <c r="N77" s="658"/>
      <c r="O77" s="627"/>
      <c r="P77" s="623"/>
      <c r="Q77" s="619"/>
      <c r="R77" s="620"/>
      <c r="S77" s="620"/>
      <c r="T77" s="621"/>
      <c r="U77" s="664"/>
      <c r="V77" s="662"/>
      <c r="W77" s="631"/>
      <c r="X77" s="656"/>
      <c r="Y77" s="664"/>
      <c r="Z77" s="662"/>
      <c r="AA77" s="631"/>
      <c r="AB77" s="656"/>
      <c r="AC77" s="664"/>
      <c r="AD77" s="660"/>
      <c r="AE77" s="629"/>
      <c r="AF77" s="625"/>
      <c r="AG77" s="664"/>
      <c r="AH77" s="658"/>
      <c r="AI77" s="627"/>
      <c r="AJ77" s="623"/>
      <c r="AK77" s="664"/>
      <c r="AL77" s="658"/>
      <c r="AM77" s="627"/>
      <c r="AN77" s="623"/>
      <c r="AO77" s="156"/>
      <c r="AP77" s="156"/>
      <c r="AQ77" s="156"/>
      <c r="AR77" s="156"/>
      <c r="AS77" s="648"/>
      <c r="AT77" s="646"/>
      <c r="AU77" s="642"/>
      <c r="AV77" s="637"/>
      <c r="AW77" s="637"/>
      <c r="AX77" s="637"/>
      <c r="AY77" s="635"/>
      <c r="AZ77" s="635"/>
      <c r="BA77" s="247"/>
    </row>
    <row r="78" spans="1:53" ht="17.25" customHeight="1" x14ac:dyDescent="0.4">
      <c r="A78" s="675" t="s">
        <v>98</v>
      </c>
      <c r="B78" s="676"/>
      <c r="C78" s="676"/>
      <c r="D78" s="677"/>
      <c r="E78" s="663" t="str">
        <f t="shared" ref="E78:E82" si="185">IF(OR(F78="",H78=""),"",IF(F78&gt;H78,"○",IF(F78&lt;H78,"×",IF(F78=H78,"△"))))</f>
        <v/>
      </c>
      <c r="F78" s="657" t="str">
        <f>IF(X70="","",X70)</f>
        <v/>
      </c>
      <c r="G78" s="626" t="s">
        <v>30</v>
      </c>
      <c r="H78" s="622" t="str">
        <f>IF(V70="","",V70)</f>
        <v/>
      </c>
      <c r="I78" s="663" t="str">
        <f t="shared" si="171"/>
        <v>○</v>
      </c>
      <c r="J78" s="657">
        <f>IF(X72="","",X72)</f>
        <v>5</v>
      </c>
      <c r="K78" s="626" t="s">
        <v>30</v>
      </c>
      <c r="L78" s="622">
        <f>IF(V72="","",V72)</f>
        <v>0</v>
      </c>
      <c r="M78" s="663" t="str">
        <f t="shared" si="173"/>
        <v/>
      </c>
      <c r="N78" s="657" t="str">
        <f>IF(X74="","",X74)</f>
        <v/>
      </c>
      <c r="O78" s="626" t="s">
        <v>30</v>
      </c>
      <c r="P78" s="622" t="str">
        <f>IF(V74="","",V74)</f>
        <v/>
      </c>
      <c r="Q78" s="663" t="str">
        <f t="shared" ref="Q78:Q82" si="186">IF(OR(R78="",T78=""),"",IF(R78&gt;T78,"○",IF(R78&lt;T78,"×",IF(R78=T78,"△"))))</f>
        <v>△</v>
      </c>
      <c r="R78" s="657">
        <f>IF(X76="","",X76)</f>
        <v>0</v>
      </c>
      <c r="S78" s="626" t="s">
        <v>30</v>
      </c>
      <c r="T78" s="622">
        <f>IF(V76="","",V76)</f>
        <v>0</v>
      </c>
      <c r="U78" s="616"/>
      <c r="V78" s="617"/>
      <c r="W78" s="617"/>
      <c r="X78" s="618"/>
      <c r="Y78" s="663" t="str">
        <f>IF(OR(Z78="",AB78=""),"",IF(Z78&gt;AB78,"○",IF(Z78&lt;AB78,"×",IF(Z78=AB78,"△"))))</f>
        <v>△</v>
      </c>
      <c r="Z78" s="661">
        <f>Ｄブロック対戦表!Q23</f>
        <v>0</v>
      </c>
      <c r="AA78" s="630" t="s">
        <v>30</v>
      </c>
      <c r="AB78" s="655">
        <f>Ｄブロック対戦表!V23</f>
        <v>0</v>
      </c>
      <c r="AC78" s="663" t="str">
        <f t="shared" si="174"/>
        <v/>
      </c>
      <c r="AD78" s="657" t="str">
        <f>'Ｃ＋Ｄブロック対戦表'!Q116</f>
        <v/>
      </c>
      <c r="AE78" s="626" t="s">
        <v>30</v>
      </c>
      <c r="AF78" s="622" t="str">
        <f>'Ｃ＋Ｄブロック対戦表'!V116</f>
        <v/>
      </c>
      <c r="AG78" s="663" t="str">
        <f t="shared" si="175"/>
        <v>○</v>
      </c>
      <c r="AH78" s="659">
        <f>'Ｃ＋Ｄブロック対戦表'!Q50</f>
        <v>2</v>
      </c>
      <c r="AI78" s="628" t="s">
        <v>30</v>
      </c>
      <c r="AJ78" s="624">
        <f>'Ｃ＋Ｄブロック対戦表'!V50</f>
        <v>0</v>
      </c>
      <c r="AK78" s="663" t="str">
        <f t="shared" si="176"/>
        <v/>
      </c>
      <c r="AL78" s="657" t="str">
        <f>Ｄブロック対戦表!Q77</f>
        <v/>
      </c>
      <c r="AM78" s="626" t="s">
        <v>30</v>
      </c>
      <c r="AN78" s="622" t="str">
        <f>Ｄブロック対戦表!V77</f>
        <v/>
      </c>
      <c r="AO78" s="155"/>
      <c r="AP78" s="155"/>
      <c r="AQ78" s="155"/>
      <c r="AR78" s="155"/>
      <c r="AS78" s="647">
        <f t="shared" si="177"/>
        <v>4</v>
      </c>
      <c r="AT78" s="645">
        <f t="shared" si="178"/>
        <v>8</v>
      </c>
      <c r="AU78" s="641">
        <f t="shared" si="179"/>
        <v>0.66666666666666663</v>
      </c>
      <c r="AV78" s="634">
        <f t="shared" ref="AV78" si="187">AW78-SUM(H78,L78,P78,T78,X78,AB78,AF78,AJ78,AN78,AR78)</f>
        <v>7</v>
      </c>
      <c r="AW78" s="634">
        <f t="shared" si="181"/>
        <v>7</v>
      </c>
      <c r="AX78" s="634">
        <f t="shared" si="182"/>
        <v>0.67373666666666665</v>
      </c>
      <c r="AY78" s="636">
        <f t="shared" si="183"/>
        <v>3</v>
      </c>
      <c r="AZ78" s="634">
        <f>RANK(AX78,$AX$4:$AX$87)</f>
        <v>9</v>
      </c>
      <c r="BA78" s="247"/>
    </row>
    <row r="79" spans="1:53" ht="17.25" customHeight="1" x14ac:dyDescent="0.4">
      <c r="A79" s="678" t="str">
        <f t="shared" ca="1" si="184"/>
        <v>雀宮ＦＣ</v>
      </c>
      <c r="B79" s="679"/>
      <c r="C79" s="679"/>
      <c r="D79" s="680"/>
      <c r="E79" s="664"/>
      <c r="F79" s="658"/>
      <c r="G79" s="627"/>
      <c r="H79" s="623"/>
      <c r="I79" s="664"/>
      <c r="J79" s="658"/>
      <c r="K79" s="627"/>
      <c r="L79" s="623"/>
      <c r="M79" s="664"/>
      <c r="N79" s="658"/>
      <c r="O79" s="627"/>
      <c r="P79" s="623"/>
      <c r="Q79" s="664"/>
      <c r="R79" s="658"/>
      <c r="S79" s="627"/>
      <c r="T79" s="623"/>
      <c r="U79" s="619"/>
      <c r="V79" s="620"/>
      <c r="W79" s="620"/>
      <c r="X79" s="621"/>
      <c r="Y79" s="664"/>
      <c r="Z79" s="662"/>
      <c r="AA79" s="631"/>
      <c r="AB79" s="656"/>
      <c r="AC79" s="664"/>
      <c r="AD79" s="658"/>
      <c r="AE79" s="627"/>
      <c r="AF79" s="623"/>
      <c r="AG79" s="664"/>
      <c r="AH79" s="660"/>
      <c r="AI79" s="629"/>
      <c r="AJ79" s="625"/>
      <c r="AK79" s="664"/>
      <c r="AL79" s="658"/>
      <c r="AM79" s="627"/>
      <c r="AN79" s="623"/>
      <c r="AO79" s="156"/>
      <c r="AP79" s="156"/>
      <c r="AQ79" s="156"/>
      <c r="AR79" s="156"/>
      <c r="AS79" s="648"/>
      <c r="AT79" s="646"/>
      <c r="AU79" s="642"/>
      <c r="AV79" s="637"/>
      <c r="AW79" s="637"/>
      <c r="AX79" s="637"/>
      <c r="AY79" s="635"/>
      <c r="AZ79" s="635"/>
      <c r="BA79" s="247"/>
    </row>
    <row r="80" spans="1:53" ht="17.25" customHeight="1" x14ac:dyDescent="0.4">
      <c r="A80" s="675" t="s">
        <v>99</v>
      </c>
      <c r="B80" s="676"/>
      <c r="C80" s="676"/>
      <c r="D80" s="677"/>
      <c r="E80" s="663" t="str">
        <f t="shared" si="185"/>
        <v/>
      </c>
      <c r="F80" s="657" t="str">
        <f>IF(AB70="","",AB70)</f>
        <v/>
      </c>
      <c r="G80" s="626" t="s">
        <v>30</v>
      </c>
      <c r="H80" s="622" t="str">
        <f>IF(Z70="","",Z70)</f>
        <v/>
      </c>
      <c r="I80" s="663" t="str">
        <f t="shared" ref="I80:I84" si="188">IF(OR(J80="",L80=""),"",IF(J80&gt;L80,"○",IF(J80&lt;L80,"×",IF(J80=L80,"△"))))</f>
        <v/>
      </c>
      <c r="J80" s="657" t="str">
        <f>IF(AB72="","",AB72)</f>
        <v/>
      </c>
      <c r="K80" s="626" t="s">
        <v>30</v>
      </c>
      <c r="L80" s="622" t="str">
        <f>IF(Z72="","",Z72)</f>
        <v/>
      </c>
      <c r="M80" s="663" t="str">
        <f t="shared" si="173"/>
        <v>×</v>
      </c>
      <c r="N80" s="657">
        <f>IF(AB74="","",AB74)</f>
        <v>0</v>
      </c>
      <c r="O80" s="626" t="s">
        <v>30</v>
      </c>
      <c r="P80" s="622">
        <f>IF(Z74="","",Z74)</f>
        <v>4</v>
      </c>
      <c r="Q80" s="663" t="str">
        <f t="shared" si="186"/>
        <v>×</v>
      </c>
      <c r="R80" s="657">
        <f>IF(AB76="","",AB76)</f>
        <v>0</v>
      </c>
      <c r="S80" s="626" t="s">
        <v>30</v>
      </c>
      <c r="T80" s="622">
        <f>IF(Z76="","",Z76)</f>
        <v>2</v>
      </c>
      <c r="U80" s="663" t="str">
        <f t="shared" ref="U80:U84" si="189">IF(OR(V80="",X80=""),"",IF(V80&gt;X80,"○",IF(V80&lt;X80,"×",IF(V80=X80,"△"))))</f>
        <v>△</v>
      </c>
      <c r="V80" s="657">
        <f>IF(AB78="","",AB78)</f>
        <v>0</v>
      </c>
      <c r="W80" s="626" t="s">
        <v>30</v>
      </c>
      <c r="X80" s="622">
        <f>IF(Z78="","",Z78)</f>
        <v>0</v>
      </c>
      <c r="Y80" s="616"/>
      <c r="Z80" s="617"/>
      <c r="AA80" s="617"/>
      <c r="AB80" s="618"/>
      <c r="AC80" s="663" t="str">
        <f t="shared" si="174"/>
        <v/>
      </c>
      <c r="AD80" s="657" t="str">
        <f>Ｄブロック対戦表!Q75</f>
        <v/>
      </c>
      <c r="AE80" s="626" t="s">
        <v>30</v>
      </c>
      <c r="AF80" s="622" t="str">
        <f>Ｄブロック対戦表!V75</f>
        <v/>
      </c>
      <c r="AG80" s="663" t="str">
        <f t="shared" si="175"/>
        <v/>
      </c>
      <c r="AH80" s="657" t="str">
        <f>Ｄブロック対戦表!Q114</f>
        <v/>
      </c>
      <c r="AI80" s="626" t="s">
        <v>30</v>
      </c>
      <c r="AJ80" s="622" t="str">
        <f>Ｄブロック対戦表!V114</f>
        <v/>
      </c>
      <c r="AK80" s="663" t="str">
        <f t="shared" si="176"/>
        <v>○</v>
      </c>
      <c r="AL80" s="659">
        <f>Ｄブロック対戦表!Q48</f>
        <v>4</v>
      </c>
      <c r="AM80" s="628" t="s">
        <v>30</v>
      </c>
      <c r="AN80" s="624">
        <f>Ｄブロック対戦表!V48</f>
        <v>0</v>
      </c>
      <c r="AO80" s="155"/>
      <c r="AP80" s="155"/>
      <c r="AQ80" s="155"/>
      <c r="AR80" s="155"/>
      <c r="AS80" s="647">
        <f t="shared" si="177"/>
        <v>4</v>
      </c>
      <c r="AT80" s="645">
        <f t="shared" si="178"/>
        <v>4</v>
      </c>
      <c r="AU80" s="641">
        <f t="shared" si="179"/>
        <v>0.33333333333333331</v>
      </c>
      <c r="AV80" s="634">
        <f t="shared" ref="AV80" si="190">AW80-SUM(H80,L80,P80,T80,X80,AB80,AF80,AJ80,AN80,AR80)</f>
        <v>-2</v>
      </c>
      <c r="AW80" s="634">
        <f t="shared" si="181"/>
        <v>4</v>
      </c>
      <c r="AX80" s="634">
        <f t="shared" si="182"/>
        <v>0.3313733333333333</v>
      </c>
      <c r="AY80" s="636">
        <f t="shared" si="183"/>
        <v>7</v>
      </c>
      <c r="AZ80" s="634">
        <f>RANK(AX80,$AX$4:$AX$87)</f>
        <v>20</v>
      </c>
      <c r="BA80" s="247"/>
    </row>
    <row r="81" spans="1:56" ht="17.25" customHeight="1" x14ac:dyDescent="0.4">
      <c r="A81" s="678" t="str">
        <f t="shared" ca="1" si="184"/>
        <v>富士見ＳＳＳ</v>
      </c>
      <c r="B81" s="679"/>
      <c r="C81" s="679"/>
      <c r="D81" s="680"/>
      <c r="E81" s="664"/>
      <c r="F81" s="658"/>
      <c r="G81" s="627"/>
      <c r="H81" s="623"/>
      <c r="I81" s="664"/>
      <c r="J81" s="658"/>
      <c r="K81" s="627"/>
      <c r="L81" s="623"/>
      <c r="M81" s="664"/>
      <c r="N81" s="658"/>
      <c r="O81" s="627"/>
      <c r="P81" s="623"/>
      <c r="Q81" s="664"/>
      <c r="R81" s="658"/>
      <c r="S81" s="627"/>
      <c r="T81" s="623"/>
      <c r="U81" s="664"/>
      <c r="V81" s="658"/>
      <c r="W81" s="627"/>
      <c r="X81" s="623"/>
      <c r="Y81" s="619"/>
      <c r="Z81" s="620"/>
      <c r="AA81" s="620"/>
      <c r="AB81" s="621"/>
      <c r="AC81" s="664"/>
      <c r="AD81" s="658"/>
      <c r="AE81" s="627"/>
      <c r="AF81" s="623"/>
      <c r="AG81" s="664"/>
      <c r="AH81" s="658"/>
      <c r="AI81" s="627"/>
      <c r="AJ81" s="623"/>
      <c r="AK81" s="664"/>
      <c r="AL81" s="660"/>
      <c r="AM81" s="629"/>
      <c r="AN81" s="625"/>
      <c r="AO81" s="156"/>
      <c r="AP81" s="156"/>
      <c r="AQ81" s="156"/>
      <c r="AR81" s="156"/>
      <c r="AS81" s="648"/>
      <c r="AT81" s="646"/>
      <c r="AU81" s="642"/>
      <c r="AV81" s="637"/>
      <c r="AW81" s="637"/>
      <c r="AX81" s="637"/>
      <c r="AY81" s="635"/>
      <c r="AZ81" s="635"/>
      <c r="BA81" s="247"/>
    </row>
    <row r="82" spans="1:56" ht="17.25" customHeight="1" x14ac:dyDescent="0.4">
      <c r="A82" s="675" t="s">
        <v>100</v>
      </c>
      <c r="B82" s="676"/>
      <c r="C82" s="676"/>
      <c r="D82" s="677"/>
      <c r="E82" s="663" t="str">
        <f t="shared" si="185"/>
        <v>○</v>
      </c>
      <c r="F82" s="657">
        <f>IF(AF70="","",AF70)</f>
        <v>1</v>
      </c>
      <c r="G82" s="626" t="s">
        <v>30</v>
      </c>
      <c r="H82" s="622">
        <f>IF(AD70="","",AD70)</f>
        <v>0</v>
      </c>
      <c r="I82" s="663" t="str">
        <f t="shared" si="188"/>
        <v/>
      </c>
      <c r="J82" s="657" t="str">
        <f>IF(AF72="","",AF72)</f>
        <v/>
      </c>
      <c r="K82" s="626" t="s">
        <v>30</v>
      </c>
      <c r="L82" s="622" t="str">
        <f>IF(AD72="","",AD72)</f>
        <v/>
      </c>
      <c r="M82" s="663" t="str">
        <f t="shared" ref="M82:M86" si="191">IF(OR(N82="",P82=""),"",IF(N82&gt;P82,"○",IF(N82&lt;P82,"×",IF(N82=P82,"△"))))</f>
        <v/>
      </c>
      <c r="N82" s="657" t="str">
        <f>IF(AF74="","",AF74)</f>
        <v/>
      </c>
      <c r="O82" s="626" t="s">
        <v>30</v>
      </c>
      <c r="P82" s="622" t="str">
        <f>IF(AD74="","",AD74)</f>
        <v/>
      </c>
      <c r="Q82" s="663" t="str">
        <f t="shared" si="186"/>
        <v>△</v>
      </c>
      <c r="R82" s="657">
        <f>IF(AF76="","",AF76)</f>
        <v>0</v>
      </c>
      <c r="S82" s="626" t="s">
        <v>30</v>
      </c>
      <c r="T82" s="622">
        <f>IF(AD76="","",AD76)</f>
        <v>0</v>
      </c>
      <c r="U82" s="663" t="str">
        <f t="shared" si="189"/>
        <v/>
      </c>
      <c r="V82" s="657" t="str">
        <f>IF(AF78="","",AF78)</f>
        <v/>
      </c>
      <c r="W82" s="626" t="s">
        <v>30</v>
      </c>
      <c r="X82" s="622" t="str">
        <f>IF(AD78="","",AD78)</f>
        <v/>
      </c>
      <c r="Y82" s="663" t="str">
        <f t="shared" ref="Y82:Y86" si="192">IF(OR(Z82="",AB82=""),"",IF(Z82&gt;AB82,"○",IF(Z82&lt;AB82,"×",IF(Z82=AB82,"△"))))</f>
        <v/>
      </c>
      <c r="Z82" s="657" t="str">
        <f>IF(AF80="","",AF80)</f>
        <v/>
      </c>
      <c r="AA82" s="626" t="s">
        <v>30</v>
      </c>
      <c r="AB82" s="622" t="str">
        <f>IF(AD80="","",AD80)</f>
        <v/>
      </c>
      <c r="AC82" s="616"/>
      <c r="AD82" s="617"/>
      <c r="AE82" s="617"/>
      <c r="AF82" s="618"/>
      <c r="AG82" s="663" t="str">
        <f>IF(OR(AH82="",AJ82=""),"",IF(AH82&gt;AJ82,"○",IF(AH82&lt;AJ82,"×",IF(AH82=AJ82,"△"))))</f>
        <v>○</v>
      </c>
      <c r="AH82" s="661">
        <f>'Ｃ＋Ｄブロック対戦表'!Q15</f>
        <v>1</v>
      </c>
      <c r="AI82" s="630" t="s">
        <v>30</v>
      </c>
      <c r="AJ82" s="655">
        <f>'Ｃ＋Ｄブロック対戦表'!V15</f>
        <v>0</v>
      </c>
      <c r="AK82" s="663" t="str">
        <f>IF(OR(AL82="",AN82=""),"",IF(AL82&gt;AN82,"○",IF(AL82&lt;AN82,"×",IF(AL82=AN82,"△"))))</f>
        <v>○</v>
      </c>
      <c r="AL82" s="661">
        <f>'Ｃ＋Ｄブロック対戦表'!V19</f>
        <v>1</v>
      </c>
      <c r="AM82" s="630" t="s">
        <v>30</v>
      </c>
      <c r="AN82" s="655">
        <f>'Ｃ＋Ｄブロック対戦表'!Q19</f>
        <v>0</v>
      </c>
      <c r="AO82" s="155"/>
      <c r="AP82" s="155"/>
      <c r="AQ82" s="155"/>
      <c r="AR82" s="155"/>
      <c r="AS82" s="647">
        <f t="shared" ref="AS82:AS86" si="193">COUNTIF(E82:AN83,"○")+COUNTIF(E82:AN83,"×")+COUNTIF(E82:AN83,"△")</f>
        <v>4</v>
      </c>
      <c r="AT82" s="645">
        <f t="shared" ref="AT82:AT86" si="194">COUNTIF(E82:AN83,"○")*3+COUNTIF(E82:AN83,"△")</f>
        <v>10</v>
      </c>
      <c r="AU82" s="641">
        <f t="shared" ref="AU82:AU86" si="195">IF(AS82=0,0,AT82/(AS82*3))</f>
        <v>0.83333333333333337</v>
      </c>
      <c r="AV82" s="634">
        <f t="shared" ref="AV82" si="196">AW82-SUM(H82,L82,P82,T82,X82,AB82,AF82,AJ82,AN82,AR82)</f>
        <v>3</v>
      </c>
      <c r="AW82" s="634">
        <f t="shared" ref="AW82:AW86" si="197">SUM(F82,J82,N82,R82,V82,Z82,AD82,AH82,AL82,AP82)</f>
        <v>3</v>
      </c>
      <c r="AX82" s="634">
        <f t="shared" ref="AX82:AX86" si="198">AU82+AV82*0.001+AW82*0.00001</f>
        <v>0.83636333333333335</v>
      </c>
      <c r="AY82" s="636">
        <f t="shared" ref="AY82:AY86" si="199">RANK(AX82,$AX$70:$AX$87)</f>
        <v>2</v>
      </c>
      <c r="AZ82" s="634">
        <f>RANK(AX82,$AX$4:$AX$87)</f>
        <v>7</v>
      </c>
      <c r="BA82" s="247"/>
    </row>
    <row r="83" spans="1:56" ht="17.25" customHeight="1" x14ac:dyDescent="0.4">
      <c r="A83" s="678" t="str">
        <f t="shared" ref="A83:A87" ca="1" si="200">INDIRECT("U12組合せ!j"&amp;(ROW()-1)/2-21)</f>
        <v>ＦＣみらいＶ</v>
      </c>
      <c r="B83" s="679"/>
      <c r="C83" s="679"/>
      <c r="D83" s="680"/>
      <c r="E83" s="664"/>
      <c r="F83" s="658"/>
      <c r="G83" s="627"/>
      <c r="H83" s="623"/>
      <c r="I83" s="664"/>
      <c r="J83" s="658"/>
      <c r="K83" s="627"/>
      <c r="L83" s="623"/>
      <c r="M83" s="664"/>
      <c r="N83" s="658"/>
      <c r="O83" s="627"/>
      <c r="P83" s="623"/>
      <c r="Q83" s="664"/>
      <c r="R83" s="658"/>
      <c r="S83" s="627"/>
      <c r="T83" s="623"/>
      <c r="U83" s="664"/>
      <c r="V83" s="658"/>
      <c r="W83" s="627"/>
      <c r="X83" s="623"/>
      <c r="Y83" s="664"/>
      <c r="Z83" s="658"/>
      <c r="AA83" s="627"/>
      <c r="AB83" s="623"/>
      <c r="AC83" s="619"/>
      <c r="AD83" s="620"/>
      <c r="AE83" s="620"/>
      <c r="AF83" s="621"/>
      <c r="AG83" s="664"/>
      <c r="AH83" s="662"/>
      <c r="AI83" s="631"/>
      <c r="AJ83" s="656"/>
      <c r="AK83" s="664"/>
      <c r="AL83" s="662"/>
      <c r="AM83" s="631"/>
      <c r="AN83" s="656"/>
      <c r="AO83" s="156"/>
      <c r="AP83" s="156"/>
      <c r="AQ83" s="156"/>
      <c r="AR83" s="156"/>
      <c r="AS83" s="648"/>
      <c r="AT83" s="646"/>
      <c r="AU83" s="642"/>
      <c r="AV83" s="637"/>
      <c r="AW83" s="637"/>
      <c r="AX83" s="637"/>
      <c r="AY83" s="635"/>
      <c r="AZ83" s="635"/>
      <c r="BA83" s="247"/>
    </row>
    <row r="84" spans="1:56" ht="17.25" customHeight="1" x14ac:dyDescent="0.4">
      <c r="A84" s="675" t="s">
        <v>101</v>
      </c>
      <c r="B84" s="676"/>
      <c r="C84" s="676"/>
      <c r="D84" s="677"/>
      <c r="E84" s="663" t="str">
        <f>IF(OR(F84="",H84=""),"",IF(F84&gt;H84,"○",IF(F84&lt;H84,"×",IF(F84=H84,"△"))))</f>
        <v/>
      </c>
      <c r="F84" s="657" t="str">
        <f>IF(AJ70="","",AJ70)</f>
        <v/>
      </c>
      <c r="G84" s="626" t="s">
        <v>30</v>
      </c>
      <c r="H84" s="622" t="str">
        <f>IF(AH70="","",AH70)</f>
        <v/>
      </c>
      <c r="I84" s="663" t="str">
        <f t="shared" si="188"/>
        <v>○</v>
      </c>
      <c r="J84" s="657">
        <f>IF(AJ72="","",AJ72)</f>
        <v>1</v>
      </c>
      <c r="K84" s="626" t="s">
        <v>30</v>
      </c>
      <c r="L84" s="622">
        <f>IF(AH72="","",AH72)</f>
        <v>0</v>
      </c>
      <c r="M84" s="663" t="str">
        <f t="shared" si="191"/>
        <v/>
      </c>
      <c r="N84" s="657" t="str">
        <f>IF(AJ74="","",AJ74)</f>
        <v/>
      </c>
      <c r="O84" s="626" t="s">
        <v>30</v>
      </c>
      <c r="P84" s="622" t="str">
        <f>IF(AH74="","",AH74)</f>
        <v/>
      </c>
      <c r="Q84" s="663" t="str">
        <f>IF(OR(R84="",T84=""),"",IF(R84&gt;T84,"○",IF(R84&lt;T84,"×",IF(R84=T84,"△"))))</f>
        <v/>
      </c>
      <c r="R84" s="657" t="str">
        <f>IF(AJ76="","",AJ76)</f>
        <v/>
      </c>
      <c r="S84" s="626" t="s">
        <v>30</v>
      </c>
      <c r="T84" s="622" t="str">
        <f>IF(AH76="","",AH76)</f>
        <v/>
      </c>
      <c r="U84" s="663" t="str">
        <f t="shared" si="189"/>
        <v>×</v>
      </c>
      <c r="V84" s="657">
        <f>IF(AJ78="","",AJ78)</f>
        <v>0</v>
      </c>
      <c r="W84" s="626" t="s">
        <v>30</v>
      </c>
      <c r="X84" s="622">
        <f>IF(AH78="","",AH78)</f>
        <v>2</v>
      </c>
      <c r="Y84" s="663" t="str">
        <f t="shared" si="192"/>
        <v/>
      </c>
      <c r="Z84" s="657" t="str">
        <f>IF(AJ80="","",AJ80)</f>
        <v/>
      </c>
      <c r="AA84" s="626" t="s">
        <v>30</v>
      </c>
      <c r="AB84" s="622" t="str">
        <f>IF(AH80="","",AH80)</f>
        <v/>
      </c>
      <c r="AC84" s="663" t="str">
        <f>IF(OR(AD84="",AF84=""),"",IF(AD84&gt;AF84,"○",IF(AD84&lt;AF84,"×",IF(AD84=AF84,"△"))))</f>
        <v>×</v>
      </c>
      <c r="AD84" s="657">
        <f>IF(AJ82="","",AJ82)</f>
        <v>0</v>
      </c>
      <c r="AE84" s="626" t="s">
        <v>30</v>
      </c>
      <c r="AF84" s="622">
        <f>IF(AH82="","",AH82)</f>
        <v>1</v>
      </c>
      <c r="AG84" s="616"/>
      <c r="AH84" s="617"/>
      <c r="AI84" s="617"/>
      <c r="AJ84" s="618"/>
      <c r="AK84" s="663" t="str">
        <f>IF(OR(AL84="",AN84=""),"",IF(AL84&gt;AN84,"○",IF(AL84&lt;AN84,"×",IF(AL84=AN84,"△"))))</f>
        <v>○</v>
      </c>
      <c r="AL84" s="661">
        <f>'Ｃ＋Ｄブロック対戦表'!Q23</f>
        <v>2</v>
      </c>
      <c r="AM84" s="630" t="s">
        <v>30</v>
      </c>
      <c r="AN84" s="655">
        <f>'Ｃ＋Ｄブロック対戦表'!V23</f>
        <v>0</v>
      </c>
      <c r="AO84" s="155"/>
      <c r="AP84" s="155"/>
      <c r="AQ84" s="155"/>
      <c r="AR84" s="155"/>
      <c r="AS84" s="647">
        <f t="shared" si="193"/>
        <v>4</v>
      </c>
      <c r="AT84" s="645">
        <f t="shared" si="194"/>
        <v>6</v>
      </c>
      <c r="AU84" s="641">
        <f t="shared" si="195"/>
        <v>0.5</v>
      </c>
      <c r="AV84" s="634">
        <f t="shared" ref="AV84" si="201">AW84-SUM(H84,L84,P84,T84,X84,AB84,AF84,AJ84,AN84,AR84)</f>
        <v>0</v>
      </c>
      <c r="AW84" s="634">
        <f t="shared" si="197"/>
        <v>3</v>
      </c>
      <c r="AX84" s="634">
        <f t="shared" si="198"/>
        <v>0.50002999999999997</v>
      </c>
      <c r="AY84" s="636">
        <f t="shared" si="199"/>
        <v>4</v>
      </c>
      <c r="AZ84" s="634">
        <f>RANK(AX84,$AX$4:$AX$87)</f>
        <v>15</v>
      </c>
      <c r="BA84" s="247"/>
      <c r="BD84" s="253"/>
    </row>
    <row r="85" spans="1:56" ht="17.25" customHeight="1" x14ac:dyDescent="0.4">
      <c r="A85" s="678" t="str">
        <f t="shared" ca="1" si="200"/>
        <v>上河内ＪＳＣ</v>
      </c>
      <c r="B85" s="679"/>
      <c r="C85" s="679"/>
      <c r="D85" s="680"/>
      <c r="E85" s="664"/>
      <c r="F85" s="658"/>
      <c r="G85" s="627"/>
      <c r="H85" s="623"/>
      <c r="I85" s="664"/>
      <c r="J85" s="658"/>
      <c r="K85" s="627"/>
      <c r="L85" s="623"/>
      <c r="M85" s="664"/>
      <c r="N85" s="658"/>
      <c r="O85" s="627"/>
      <c r="P85" s="623"/>
      <c r="Q85" s="664"/>
      <c r="R85" s="658"/>
      <c r="S85" s="627"/>
      <c r="T85" s="623"/>
      <c r="U85" s="664"/>
      <c r="V85" s="658"/>
      <c r="W85" s="627"/>
      <c r="X85" s="623"/>
      <c r="Y85" s="664"/>
      <c r="Z85" s="658"/>
      <c r="AA85" s="627"/>
      <c r="AB85" s="623"/>
      <c r="AC85" s="664"/>
      <c r="AD85" s="658"/>
      <c r="AE85" s="627"/>
      <c r="AF85" s="623"/>
      <c r="AG85" s="619"/>
      <c r="AH85" s="620"/>
      <c r="AI85" s="620"/>
      <c r="AJ85" s="621"/>
      <c r="AK85" s="664"/>
      <c r="AL85" s="662"/>
      <c r="AM85" s="631"/>
      <c r="AN85" s="656"/>
      <c r="AO85" s="156"/>
      <c r="AP85" s="156"/>
      <c r="AQ85" s="156"/>
      <c r="AR85" s="156"/>
      <c r="AS85" s="648"/>
      <c r="AT85" s="646"/>
      <c r="AU85" s="642"/>
      <c r="AV85" s="637"/>
      <c r="AW85" s="637"/>
      <c r="AX85" s="637"/>
      <c r="AY85" s="635"/>
      <c r="AZ85" s="635"/>
      <c r="BA85" s="247"/>
    </row>
    <row r="86" spans="1:56" ht="17.25" customHeight="1" x14ac:dyDescent="0.4">
      <c r="A86" s="675" t="s">
        <v>102</v>
      </c>
      <c r="B86" s="676"/>
      <c r="C86" s="676"/>
      <c r="D86" s="677"/>
      <c r="E86" s="663" t="str">
        <f>IF(OR(F86="",H86=""),"",IF(F86&gt;H86,"○",IF(F86&lt;H86,"×",IF(F86=H86,"△"))))</f>
        <v/>
      </c>
      <c r="F86" s="657" t="str">
        <f>IF(AN70="","",AN70)</f>
        <v/>
      </c>
      <c r="G86" s="626" t="s">
        <v>30</v>
      </c>
      <c r="H86" s="622" t="str">
        <f>IF(AL70="","",AL70)</f>
        <v/>
      </c>
      <c r="I86" s="663" t="str">
        <f>IF(OR(J86="",L86=""),"",IF(J86&gt;L86,"○",IF(J86&lt;L86,"×",IF(J86=L86,"△"))))</f>
        <v/>
      </c>
      <c r="J86" s="657" t="str">
        <f>IF(AN72="","",AN72)</f>
        <v/>
      </c>
      <c r="K86" s="626" t="s">
        <v>30</v>
      </c>
      <c r="L86" s="622" t="str">
        <f>IF(AL72="","",AL72)</f>
        <v/>
      </c>
      <c r="M86" s="663" t="str">
        <f t="shared" si="191"/>
        <v>×</v>
      </c>
      <c r="N86" s="657">
        <f>IF(AN74="","",AN74)</f>
        <v>1</v>
      </c>
      <c r="O86" s="626" t="s">
        <v>30</v>
      </c>
      <c r="P86" s="622">
        <f>IF(AL74="","",AL74)</f>
        <v>5</v>
      </c>
      <c r="Q86" s="663" t="str">
        <f>IF(OR(R86="",T86=""),"",IF(R86&gt;T86,"○",IF(R86&lt;T86,"×",IF(R86=T86,"△"))))</f>
        <v/>
      </c>
      <c r="R86" s="657" t="str">
        <f>IF(AN76="","",AN76)</f>
        <v/>
      </c>
      <c r="S86" s="626" t="s">
        <v>30</v>
      </c>
      <c r="T86" s="622" t="str">
        <f>IF(AL76="","",AL76)</f>
        <v/>
      </c>
      <c r="U86" s="663" t="str">
        <f>IF(OR(V86="",X86=""),"",IF(V86&gt;X86,"○",IF(V86&lt;X86,"×",IF(V86=X86,"△"))))</f>
        <v/>
      </c>
      <c r="V86" s="657" t="str">
        <f>IF(AN78="","",AN78)</f>
        <v/>
      </c>
      <c r="W86" s="626" t="s">
        <v>30</v>
      </c>
      <c r="X86" s="622" t="str">
        <f>IF(AL78="","",AL78)</f>
        <v/>
      </c>
      <c r="Y86" s="663" t="str">
        <f t="shared" si="192"/>
        <v>×</v>
      </c>
      <c r="Z86" s="657">
        <f>IF(AN80="","",AN80)</f>
        <v>0</v>
      </c>
      <c r="AA86" s="626" t="s">
        <v>30</v>
      </c>
      <c r="AB86" s="622">
        <f>IF(AL80="","",AL80)</f>
        <v>4</v>
      </c>
      <c r="AC86" s="663" t="str">
        <f>IF(OR(AD86="",AF86=""),"",IF(AD86&gt;AF86,"○",IF(AD86&lt;AF86,"×",IF(AD86=AF86,"△"))))</f>
        <v>×</v>
      </c>
      <c r="AD86" s="657">
        <f>IF(AN82="","",AN82)</f>
        <v>0</v>
      </c>
      <c r="AE86" s="626" t="s">
        <v>30</v>
      </c>
      <c r="AF86" s="622">
        <f>IF(AL82="","",AL82)</f>
        <v>1</v>
      </c>
      <c r="AG86" s="663" t="str">
        <f>IF(OR(AH86="",AJ86=""),"",IF(AH86&gt;AJ86,"○",IF(AH86&lt;AJ86,"×",IF(AH86=AJ86,"△"))))</f>
        <v>×</v>
      </c>
      <c r="AH86" s="657">
        <f>IF(AN84="","",AN84)</f>
        <v>0</v>
      </c>
      <c r="AI86" s="626" t="s">
        <v>30</v>
      </c>
      <c r="AJ86" s="622">
        <f>IF(AL84="","",AL84)</f>
        <v>2</v>
      </c>
      <c r="AK86" s="616"/>
      <c r="AL86" s="617"/>
      <c r="AM86" s="617"/>
      <c r="AN86" s="618"/>
      <c r="AO86" s="155"/>
      <c r="AP86" s="155"/>
      <c r="AQ86" s="155"/>
      <c r="AR86" s="155"/>
      <c r="AS86" s="647">
        <f t="shared" si="193"/>
        <v>4</v>
      </c>
      <c r="AT86" s="645">
        <f t="shared" si="194"/>
        <v>0</v>
      </c>
      <c r="AU86" s="641">
        <f t="shared" si="195"/>
        <v>0</v>
      </c>
      <c r="AV86" s="634">
        <f t="shared" ref="AV86" si="202">AW86-SUM(H86,L86,P86,T86,X86,AB86,AF86,AJ86,AN86,AR86)</f>
        <v>-11</v>
      </c>
      <c r="AW86" s="634">
        <f t="shared" si="197"/>
        <v>1</v>
      </c>
      <c r="AX86" s="634">
        <f t="shared" si="198"/>
        <v>-1.099E-2</v>
      </c>
      <c r="AY86" s="636">
        <f t="shared" si="199"/>
        <v>8</v>
      </c>
      <c r="AZ86" s="634">
        <f>RANK(AX86,$AX$4:$AX$87)</f>
        <v>37</v>
      </c>
      <c r="BA86" s="247"/>
    </row>
    <row r="87" spans="1:56" ht="17.25" customHeight="1" x14ac:dyDescent="0.4">
      <c r="A87" s="678" t="str">
        <f t="shared" ca="1" si="200"/>
        <v>ジュベニール</v>
      </c>
      <c r="B87" s="679"/>
      <c r="C87" s="679"/>
      <c r="D87" s="680"/>
      <c r="E87" s="664"/>
      <c r="F87" s="658"/>
      <c r="G87" s="627"/>
      <c r="H87" s="623"/>
      <c r="I87" s="664"/>
      <c r="J87" s="658"/>
      <c r="K87" s="627"/>
      <c r="L87" s="623"/>
      <c r="M87" s="664"/>
      <c r="N87" s="658"/>
      <c r="O87" s="627"/>
      <c r="P87" s="623"/>
      <c r="Q87" s="664"/>
      <c r="R87" s="658"/>
      <c r="S87" s="627"/>
      <c r="T87" s="623"/>
      <c r="U87" s="664"/>
      <c r="V87" s="658"/>
      <c r="W87" s="627"/>
      <c r="X87" s="623"/>
      <c r="Y87" s="664"/>
      <c r="Z87" s="658"/>
      <c r="AA87" s="627"/>
      <c r="AB87" s="623"/>
      <c r="AC87" s="664"/>
      <c r="AD87" s="658"/>
      <c r="AE87" s="627"/>
      <c r="AF87" s="623"/>
      <c r="AG87" s="664"/>
      <c r="AH87" s="658"/>
      <c r="AI87" s="627"/>
      <c r="AJ87" s="623"/>
      <c r="AK87" s="619"/>
      <c r="AL87" s="620"/>
      <c r="AM87" s="620"/>
      <c r="AN87" s="621"/>
      <c r="AO87" s="156"/>
      <c r="AP87" s="156"/>
      <c r="AQ87" s="156"/>
      <c r="AR87" s="156"/>
      <c r="AS87" s="648"/>
      <c r="AT87" s="646"/>
      <c r="AU87" s="642"/>
      <c r="AV87" s="637"/>
      <c r="AW87" s="637"/>
      <c r="AX87" s="637"/>
      <c r="AY87" s="635"/>
      <c r="AZ87" s="635"/>
      <c r="BA87" s="247"/>
    </row>
    <row r="89" spans="1:56" x14ac:dyDescent="0.4">
      <c r="AM89" s="254"/>
    </row>
  </sheetData>
  <mergeCells count="1758">
    <mergeCell ref="A1:AZ1"/>
    <mergeCell ref="B2:K2"/>
    <mergeCell ref="A3:D3"/>
    <mergeCell ref="E3:H3"/>
    <mergeCell ref="I3:L3"/>
    <mergeCell ref="M3:P3"/>
    <mergeCell ref="Q3:T3"/>
    <mergeCell ref="U3:X3"/>
    <mergeCell ref="Y3:AB3"/>
    <mergeCell ref="AC3:AF3"/>
    <mergeCell ref="AG3:AJ3"/>
    <mergeCell ref="AK3:AN3"/>
    <mergeCell ref="AO3:AR3"/>
    <mergeCell ref="A4:D4"/>
    <mergeCell ref="A5:D5"/>
    <mergeCell ref="A6:D6"/>
    <mergeCell ref="A7:D7"/>
    <mergeCell ref="AJ4:AJ5"/>
    <mergeCell ref="AJ6:AJ7"/>
    <mergeCell ref="AL4:AL5"/>
    <mergeCell ref="AL6:AL7"/>
    <mergeCell ref="AN4:AN5"/>
    <mergeCell ref="AN6:AN7"/>
    <mergeCell ref="AQ4:AQ5"/>
    <mergeCell ref="AQ6:AQ7"/>
    <mergeCell ref="E4:H5"/>
    <mergeCell ref="I6:L7"/>
    <mergeCell ref="AM4:AM5"/>
    <mergeCell ref="AM6:AM7"/>
    <mergeCell ref="AP4:AP5"/>
    <mergeCell ref="AP6:AP7"/>
    <mergeCell ref="AR4:AR5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5:D25"/>
    <mergeCell ref="E25:H25"/>
    <mergeCell ref="I25:L25"/>
    <mergeCell ref="M25:P25"/>
    <mergeCell ref="Q25:T25"/>
    <mergeCell ref="U25:X25"/>
    <mergeCell ref="Y25:AB25"/>
    <mergeCell ref="AC25:AF25"/>
    <mergeCell ref="AG25:AJ25"/>
    <mergeCell ref="AK25:AN25"/>
    <mergeCell ref="AO25:AR25"/>
    <mergeCell ref="A26:D26"/>
    <mergeCell ref="A27:D27"/>
    <mergeCell ref="A28:D28"/>
    <mergeCell ref="A29:D29"/>
    <mergeCell ref="A30:D30"/>
    <mergeCell ref="A31:D31"/>
    <mergeCell ref="A32:D32"/>
    <mergeCell ref="AQ32:AQ33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7:AZ47"/>
    <mergeCell ref="A49:D49"/>
    <mergeCell ref="E49:H49"/>
    <mergeCell ref="I49:L49"/>
    <mergeCell ref="M49:P49"/>
    <mergeCell ref="Q49:T49"/>
    <mergeCell ref="U49:X49"/>
    <mergeCell ref="Y49:AB49"/>
    <mergeCell ref="AC49:AF49"/>
    <mergeCell ref="AG49:AJ49"/>
    <mergeCell ref="AK49:AN49"/>
    <mergeCell ref="G42:G43"/>
    <mergeCell ref="G44:G45"/>
    <mergeCell ref="H42:H43"/>
    <mergeCell ref="H44:H45"/>
    <mergeCell ref="I42:I43"/>
    <mergeCell ref="I44:I45"/>
    <mergeCell ref="J42:J43"/>
    <mergeCell ref="J44:J45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9:D69"/>
    <mergeCell ref="E69:H69"/>
    <mergeCell ref="I69:L69"/>
    <mergeCell ref="M69:P69"/>
    <mergeCell ref="Q69:T69"/>
    <mergeCell ref="U69:X69"/>
    <mergeCell ref="Y69:AB69"/>
    <mergeCell ref="AC69:AF69"/>
    <mergeCell ref="AG69:AJ69"/>
    <mergeCell ref="AK69:AN69"/>
    <mergeCell ref="A70:D70"/>
    <mergeCell ref="A71:D71"/>
    <mergeCell ref="A72:D72"/>
    <mergeCell ref="A73:D73"/>
    <mergeCell ref="A74:D74"/>
    <mergeCell ref="A75:D75"/>
    <mergeCell ref="N72:N73"/>
    <mergeCell ref="O70:O71"/>
    <mergeCell ref="O72:O73"/>
    <mergeCell ref="P70:P71"/>
    <mergeCell ref="P72:P73"/>
    <mergeCell ref="Q70:Q71"/>
    <mergeCell ref="Q72:Q73"/>
    <mergeCell ref="Q74:Q75"/>
    <mergeCell ref="R72:R73"/>
    <mergeCell ref="R74:R75"/>
    <mergeCell ref="S72:S73"/>
    <mergeCell ref="S74:S75"/>
    <mergeCell ref="T72:T73"/>
    <mergeCell ref="T74:T75"/>
    <mergeCell ref="U72:U73"/>
    <mergeCell ref="A76:D76"/>
    <mergeCell ref="A77:D77"/>
    <mergeCell ref="A78:D78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E52:E53"/>
    <mergeCell ref="E54:E55"/>
    <mergeCell ref="E56:E57"/>
    <mergeCell ref="E58:E59"/>
    <mergeCell ref="E60:E61"/>
    <mergeCell ref="E62:E63"/>
    <mergeCell ref="E64:E65"/>
    <mergeCell ref="E66:E67"/>
    <mergeCell ref="E72:E73"/>
    <mergeCell ref="E74:E75"/>
    <mergeCell ref="E76:E77"/>
    <mergeCell ref="E78:E79"/>
    <mergeCell ref="E80:E81"/>
    <mergeCell ref="E82:E83"/>
    <mergeCell ref="E84:E85"/>
    <mergeCell ref="E86:E87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8:F29"/>
    <mergeCell ref="F30:F31"/>
    <mergeCell ref="F32:F33"/>
    <mergeCell ref="F34:F35"/>
    <mergeCell ref="F36:F37"/>
    <mergeCell ref="F38:F39"/>
    <mergeCell ref="F40:F41"/>
    <mergeCell ref="F42:F43"/>
    <mergeCell ref="F44:F45"/>
    <mergeCell ref="F52:F53"/>
    <mergeCell ref="F54:F55"/>
    <mergeCell ref="F56:F57"/>
    <mergeCell ref="F58:F59"/>
    <mergeCell ref="F60:F61"/>
    <mergeCell ref="F62:F63"/>
    <mergeCell ref="F64:F65"/>
    <mergeCell ref="F66:F67"/>
    <mergeCell ref="F72:F73"/>
    <mergeCell ref="F74:F75"/>
    <mergeCell ref="F76:F77"/>
    <mergeCell ref="F78:F79"/>
    <mergeCell ref="F80:F81"/>
    <mergeCell ref="F82:F83"/>
    <mergeCell ref="F84:F85"/>
    <mergeCell ref="F86:F87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G28:G29"/>
    <mergeCell ref="G30:G31"/>
    <mergeCell ref="G32:G33"/>
    <mergeCell ref="G34:G35"/>
    <mergeCell ref="G36:G37"/>
    <mergeCell ref="G38:G39"/>
    <mergeCell ref="G40:G41"/>
    <mergeCell ref="G52:G53"/>
    <mergeCell ref="G54:G55"/>
    <mergeCell ref="G56:G57"/>
    <mergeCell ref="G58:G59"/>
    <mergeCell ref="G60:G61"/>
    <mergeCell ref="G62:G63"/>
    <mergeCell ref="G64:G65"/>
    <mergeCell ref="G66:G67"/>
    <mergeCell ref="G72:G73"/>
    <mergeCell ref="G74:G75"/>
    <mergeCell ref="G76:G77"/>
    <mergeCell ref="G78:G79"/>
    <mergeCell ref="G80:G81"/>
    <mergeCell ref="G82:G83"/>
    <mergeCell ref="G84:G85"/>
    <mergeCell ref="G86:G87"/>
    <mergeCell ref="H6:H7"/>
    <mergeCell ref="H8:H9"/>
    <mergeCell ref="H10:H11"/>
    <mergeCell ref="H12:H13"/>
    <mergeCell ref="H14:H15"/>
    <mergeCell ref="H16:H17"/>
    <mergeCell ref="H18:H19"/>
    <mergeCell ref="H20:H21"/>
    <mergeCell ref="H22:H23"/>
    <mergeCell ref="H28:H29"/>
    <mergeCell ref="H30:H31"/>
    <mergeCell ref="H32:H33"/>
    <mergeCell ref="H34:H35"/>
    <mergeCell ref="H36:H37"/>
    <mergeCell ref="H38:H39"/>
    <mergeCell ref="H40:H41"/>
    <mergeCell ref="H52:H53"/>
    <mergeCell ref="H54:H55"/>
    <mergeCell ref="H56:H57"/>
    <mergeCell ref="H58:H59"/>
    <mergeCell ref="H60:H61"/>
    <mergeCell ref="H62:H63"/>
    <mergeCell ref="H64:H65"/>
    <mergeCell ref="H66:H67"/>
    <mergeCell ref="H72:H73"/>
    <mergeCell ref="H74:H75"/>
    <mergeCell ref="H76:H77"/>
    <mergeCell ref="H78:H79"/>
    <mergeCell ref="H80:H81"/>
    <mergeCell ref="H82:H83"/>
    <mergeCell ref="H84:H85"/>
    <mergeCell ref="H86:H87"/>
    <mergeCell ref="I4:I5"/>
    <mergeCell ref="I8:I9"/>
    <mergeCell ref="I10:I11"/>
    <mergeCell ref="I12:I13"/>
    <mergeCell ref="I14:I15"/>
    <mergeCell ref="I16:I17"/>
    <mergeCell ref="I18:I19"/>
    <mergeCell ref="I20:I21"/>
    <mergeCell ref="I22:I23"/>
    <mergeCell ref="I26:I27"/>
    <mergeCell ref="I30:I31"/>
    <mergeCell ref="I32:I33"/>
    <mergeCell ref="I34:I35"/>
    <mergeCell ref="I36:I37"/>
    <mergeCell ref="I38:I39"/>
    <mergeCell ref="I40:I41"/>
    <mergeCell ref="I86:I87"/>
    <mergeCell ref="J4:J5"/>
    <mergeCell ref="J8:J9"/>
    <mergeCell ref="J10:J11"/>
    <mergeCell ref="J12:J13"/>
    <mergeCell ref="J14:J15"/>
    <mergeCell ref="J16:J17"/>
    <mergeCell ref="J18:J19"/>
    <mergeCell ref="J20:J21"/>
    <mergeCell ref="J22:J23"/>
    <mergeCell ref="J26:J27"/>
    <mergeCell ref="J30:J31"/>
    <mergeCell ref="J32:J33"/>
    <mergeCell ref="J34:J35"/>
    <mergeCell ref="J36:J37"/>
    <mergeCell ref="J38:J39"/>
    <mergeCell ref="J40:J41"/>
    <mergeCell ref="J86:J87"/>
    <mergeCell ref="J84:J85"/>
    <mergeCell ref="I50:I51"/>
    <mergeCell ref="I54:I55"/>
    <mergeCell ref="I56:I57"/>
    <mergeCell ref="I58:I59"/>
    <mergeCell ref="I60:I61"/>
    <mergeCell ref="I62:I63"/>
    <mergeCell ref="I64:I65"/>
    <mergeCell ref="I66:I67"/>
    <mergeCell ref="I70:I71"/>
    <mergeCell ref="I74:I75"/>
    <mergeCell ref="K4:K5"/>
    <mergeCell ref="K8:K9"/>
    <mergeCell ref="K10:K11"/>
    <mergeCell ref="K12:K13"/>
    <mergeCell ref="K14:K15"/>
    <mergeCell ref="K16:K17"/>
    <mergeCell ref="K18:K19"/>
    <mergeCell ref="K20:K21"/>
    <mergeCell ref="K22:K23"/>
    <mergeCell ref="K26:K27"/>
    <mergeCell ref="K30:K31"/>
    <mergeCell ref="K32:K33"/>
    <mergeCell ref="K34:K35"/>
    <mergeCell ref="K36:K37"/>
    <mergeCell ref="K38:K39"/>
    <mergeCell ref="K40:K41"/>
    <mergeCell ref="K42:K43"/>
    <mergeCell ref="K78:K79"/>
    <mergeCell ref="K80:K81"/>
    <mergeCell ref="K82:K83"/>
    <mergeCell ref="K84:K85"/>
    <mergeCell ref="I52:L53"/>
    <mergeCell ref="J50:J51"/>
    <mergeCell ref="J54:J55"/>
    <mergeCell ref="J56:J57"/>
    <mergeCell ref="J58:J59"/>
    <mergeCell ref="J60:J61"/>
    <mergeCell ref="J62:J63"/>
    <mergeCell ref="J64:J65"/>
    <mergeCell ref="J66:J67"/>
    <mergeCell ref="J70:J71"/>
    <mergeCell ref="J74:J75"/>
    <mergeCell ref="J76:J77"/>
    <mergeCell ref="J78:J79"/>
    <mergeCell ref="J80:J81"/>
    <mergeCell ref="J82:J83"/>
    <mergeCell ref="L82:L83"/>
    <mergeCell ref="I78:I79"/>
    <mergeCell ref="I80:I81"/>
    <mergeCell ref="I82:I83"/>
    <mergeCell ref="I84:I85"/>
    <mergeCell ref="I76:I77"/>
    <mergeCell ref="K86:K87"/>
    <mergeCell ref="L4:L5"/>
    <mergeCell ref="L8:L9"/>
    <mergeCell ref="L10:L11"/>
    <mergeCell ref="L12:L13"/>
    <mergeCell ref="L14:L15"/>
    <mergeCell ref="L16:L17"/>
    <mergeCell ref="L18:L19"/>
    <mergeCell ref="L20:L21"/>
    <mergeCell ref="L22:L23"/>
    <mergeCell ref="L26:L27"/>
    <mergeCell ref="L30:L31"/>
    <mergeCell ref="L32:L33"/>
    <mergeCell ref="L34:L35"/>
    <mergeCell ref="L36:L37"/>
    <mergeCell ref="L38:L39"/>
    <mergeCell ref="L40:L41"/>
    <mergeCell ref="L42:L43"/>
    <mergeCell ref="L44:L45"/>
    <mergeCell ref="K44:K45"/>
    <mergeCell ref="L86:L87"/>
    <mergeCell ref="K50:K51"/>
    <mergeCell ref="K54:K55"/>
    <mergeCell ref="K56:K57"/>
    <mergeCell ref="K58:K59"/>
    <mergeCell ref="K60:K61"/>
    <mergeCell ref="K62:K63"/>
    <mergeCell ref="K64:K65"/>
    <mergeCell ref="K66:K67"/>
    <mergeCell ref="K70:K71"/>
    <mergeCell ref="K74:K75"/>
    <mergeCell ref="K76:K77"/>
    <mergeCell ref="M4:M5"/>
    <mergeCell ref="M6:M7"/>
    <mergeCell ref="M10:M11"/>
    <mergeCell ref="M12:M13"/>
    <mergeCell ref="M14:M15"/>
    <mergeCell ref="M16:M17"/>
    <mergeCell ref="M18:M19"/>
    <mergeCell ref="M20:M21"/>
    <mergeCell ref="M22:M23"/>
    <mergeCell ref="M26:M27"/>
    <mergeCell ref="M28:M29"/>
    <mergeCell ref="M32:M33"/>
    <mergeCell ref="M34:M35"/>
    <mergeCell ref="M36:M37"/>
    <mergeCell ref="M38:M39"/>
    <mergeCell ref="M40:M41"/>
    <mergeCell ref="M42:M43"/>
    <mergeCell ref="M44:M45"/>
    <mergeCell ref="L84:L85"/>
    <mergeCell ref="N44:N45"/>
    <mergeCell ref="N50:N51"/>
    <mergeCell ref="N52:N53"/>
    <mergeCell ref="N56:N57"/>
    <mergeCell ref="N58:N59"/>
    <mergeCell ref="N60:N61"/>
    <mergeCell ref="N62:N63"/>
    <mergeCell ref="N64:N65"/>
    <mergeCell ref="N66:N67"/>
    <mergeCell ref="N70:N71"/>
    <mergeCell ref="N76:N77"/>
    <mergeCell ref="N78:N79"/>
    <mergeCell ref="N80:N81"/>
    <mergeCell ref="L50:L51"/>
    <mergeCell ref="L54:L55"/>
    <mergeCell ref="L56:L57"/>
    <mergeCell ref="L58:L59"/>
    <mergeCell ref="L60:L61"/>
    <mergeCell ref="L62:L63"/>
    <mergeCell ref="L64:L65"/>
    <mergeCell ref="L66:L67"/>
    <mergeCell ref="L70:L71"/>
    <mergeCell ref="L74:L75"/>
    <mergeCell ref="L76:L77"/>
    <mergeCell ref="L78:L79"/>
    <mergeCell ref="L80:L81"/>
    <mergeCell ref="N82:N83"/>
    <mergeCell ref="N84:N85"/>
    <mergeCell ref="N4:N5"/>
    <mergeCell ref="N6:N7"/>
    <mergeCell ref="N10:N11"/>
    <mergeCell ref="N12:N13"/>
    <mergeCell ref="N14:N15"/>
    <mergeCell ref="N16:N17"/>
    <mergeCell ref="N18:N19"/>
    <mergeCell ref="N20:N21"/>
    <mergeCell ref="N22:N23"/>
    <mergeCell ref="N26:N27"/>
    <mergeCell ref="N28:N29"/>
    <mergeCell ref="N32:N33"/>
    <mergeCell ref="N34:N35"/>
    <mergeCell ref="N36:N37"/>
    <mergeCell ref="N38:N39"/>
    <mergeCell ref="N40:N41"/>
    <mergeCell ref="N42:N43"/>
    <mergeCell ref="N86:N87"/>
    <mergeCell ref="M54:P55"/>
    <mergeCell ref="M50:M51"/>
    <mergeCell ref="M52:M53"/>
    <mergeCell ref="M56:M57"/>
    <mergeCell ref="M58:M59"/>
    <mergeCell ref="M60:M61"/>
    <mergeCell ref="M62:M63"/>
    <mergeCell ref="M64:M65"/>
    <mergeCell ref="M66:M67"/>
    <mergeCell ref="M70:M71"/>
    <mergeCell ref="M72:M73"/>
    <mergeCell ref="M76:M77"/>
    <mergeCell ref="M78:M79"/>
    <mergeCell ref="M80:M81"/>
    <mergeCell ref="M82:M83"/>
    <mergeCell ref="M84:M85"/>
    <mergeCell ref="M86:M87"/>
    <mergeCell ref="O4:O5"/>
    <mergeCell ref="O6:O7"/>
    <mergeCell ref="O10:O11"/>
    <mergeCell ref="O12:O13"/>
    <mergeCell ref="O14:O15"/>
    <mergeCell ref="O16:O17"/>
    <mergeCell ref="O18:O19"/>
    <mergeCell ref="O20:O21"/>
    <mergeCell ref="O22:O23"/>
    <mergeCell ref="O26:O27"/>
    <mergeCell ref="O28:O29"/>
    <mergeCell ref="O32:O33"/>
    <mergeCell ref="O34:O35"/>
    <mergeCell ref="O36:O37"/>
    <mergeCell ref="O38:O39"/>
    <mergeCell ref="O40:O41"/>
    <mergeCell ref="O42:O43"/>
    <mergeCell ref="O44:O45"/>
    <mergeCell ref="O50:O51"/>
    <mergeCell ref="O52:O53"/>
    <mergeCell ref="O56:O57"/>
    <mergeCell ref="O58:O59"/>
    <mergeCell ref="O60:O61"/>
    <mergeCell ref="O62:O63"/>
    <mergeCell ref="O64:O65"/>
    <mergeCell ref="O66:O67"/>
    <mergeCell ref="O76:O77"/>
    <mergeCell ref="O78:O79"/>
    <mergeCell ref="O80:O81"/>
    <mergeCell ref="O82:O83"/>
    <mergeCell ref="O84:O85"/>
    <mergeCell ref="O86:O87"/>
    <mergeCell ref="P4:P5"/>
    <mergeCell ref="P6:P7"/>
    <mergeCell ref="P10:P11"/>
    <mergeCell ref="P12:P13"/>
    <mergeCell ref="P14:P15"/>
    <mergeCell ref="P16:P17"/>
    <mergeCell ref="P18:P19"/>
    <mergeCell ref="P20:P21"/>
    <mergeCell ref="P22:P23"/>
    <mergeCell ref="P26:P27"/>
    <mergeCell ref="P28:P29"/>
    <mergeCell ref="P32:P33"/>
    <mergeCell ref="P34:P35"/>
    <mergeCell ref="P36:P37"/>
    <mergeCell ref="P38:P39"/>
    <mergeCell ref="P40:P41"/>
    <mergeCell ref="P42:P43"/>
    <mergeCell ref="P44:P45"/>
    <mergeCell ref="P50:P51"/>
    <mergeCell ref="P52:P53"/>
    <mergeCell ref="P56:P57"/>
    <mergeCell ref="P58:P59"/>
    <mergeCell ref="P60:P61"/>
    <mergeCell ref="P62:P63"/>
    <mergeCell ref="P64:P65"/>
    <mergeCell ref="P66:P67"/>
    <mergeCell ref="P76:P77"/>
    <mergeCell ref="P78:P79"/>
    <mergeCell ref="P80:P81"/>
    <mergeCell ref="P82:P83"/>
    <mergeCell ref="P84:P85"/>
    <mergeCell ref="P86:P87"/>
    <mergeCell ref="Q4:Q5"/>
    <mergeCell ref="Q6:Q7"/>
    <mergeCell ref="Q8:Q9"/>
    <mergeCell ref="Q12:Q13"/>
    <mergeCell ref="Q14:Q15"/>
    <mergeCell ref="Q16:Q17"/>
    <mergeCell ref="Q18:Q19"/>
    <mergeCell ref="Q20:Q21"/>
    <mergeCell ref="Q22:Q23"/>
    <mergeCell ref="Q26:Q27"/>
    <mergeCell ref="Q28:Q29"/>
    <mergeCell ref="Q30:Q31"/>
    <mergeCell ref="Q34:Q35"/>
    <mergeCell ref="Q36:Q37"/>
    <mergeCell ref="Q38:Q39"/>
    <mergeCell ref="Q40:Q41"/>
    <mergeCell ref="Q42:Q43"/>
    <mergeCell ref="Q44:Q45"/>
    <mergeCell ref="Q50:Q51"/>
    <mergeCell ref="Q52:Q53"/>
    <mergeCell ref="Q54:Q55"/>
    <mergeCell ref="Q58:Q59"/>
    <mergeCell ref="Q60:Q61"/>
    <mergeCell ref="Q62:Q63"/>
    <mergeCell ref="Q64:Q65"/>
    <mergeCell ref="Q66:Q67"/>
    <mergeCell ref="Q78:Q79"/>
    <mergeCell ref="Q80:Q81"/>
    <mergeCell ref="Q82:Q83"/>
    <mergeCell ref="Q84:Q85"/>
    <mergeCell ref="Q86:Q87"/>
    <mergeCell ref="R4:R5"/>
    <mergeCell ref="R6:R7"/>
    <mergeCell ref="R8:R9"/>
    <mergeCell ref="R12:R13"/>
    <mergeCell ref="R14:R15"/>
    <mergeCell ref="R16:R17"/>
    <mergeCell ref="R18:R19"/>
    <mergeCell ref="R20:R21"/>
    <mergeCell ref="R22:R23"/>
    <mergeCell ref="R26:R27"/>
    <mergeCell ref="R28:R29"/>
    <mergeCell ref="R30:R31"/>
    <mergeCell ref="R34:R35"/>
    <mergeCell ref="R36:R37"/>
    <mergeCell ref="R38:R39"/>
    <mergeCell ref="R40:R41"/>
    <mergeCell ref="R42:R43"/>
    <mergeCell ref="R44:R45"/>
    <mergeCell ref="R50:R51"/>
    <mergeCell ref="R52:R53"/>
    <mergeCell ref="R54:R55"/>
    <mergeCell ref="R58:R59"/>
    <mergeCell ref="R60:R61"/>
    <mergeCell ref="R62:R63"/>
    <mergeCell ref="R64:R65"/>
    <mergeCell ref="R66:R67"/>
    <mergeCell ref="R70:R71"/>
    <mergeCell ref="R78:R79"/>
    <mergeCell ref="R80:R81"/>
    <mergeCell ref="R82:R83"/>
    <mergeCell ref="R84:R85"/>
    <mergeCell ref="R86:R87"/>
    <mergeCell ref="S4:S5"/>
    <mergeCell ref="S6:S7"/>
    <mergeCell ref="S8:S9"/>
    <mergeCell ref="S12:S13"/>
    <mergeCell ref="S14:S15"/>
    <mergeCell ref="S16:S17"/>
    <mergeCell ref="S18:S19"/>
    <mergeCell ref="S20:S21"/>
    <mergeCell ref="S22:S23"/>
    <mergeCell ref="S26:S27"/>
    <mergeCell ref="S28:S29"/>
    <mergeCell ref="S30:S31"/>
    <mergeCell ref="S34:S35"/>
    <mergeCell ref="S36:S37"/>
    <mergeCell ref="S38:S39"/>
    <mergeCell ref="S40:S41"/>
    <mergeCell ref="S42:S43"/>
    <mergeCell ref="S44:S45"/>
    <mergeCell ref="S50:S51"/>
    <mergeCell ref="S52:S53"/>
    <mergeCell ref="S54:S55"/>
    <mergeCell ref="S58:S59"/>
    <mergeCell ref="S60:S61"/>
    <mergeCell ref="S62:S63"/>
    <mergeCell ref="S64:S65"/>
    <mergeCell ref="S66:S67"/>
    <mergeCell ref="S70:S71"/>
    <mergeCell ref="S78:S79"/>
    <mergeCell ref="S80:S81"/>
    <mergeCell ref="S82:S83"/>
    <mergeCell ref="S84:S85"/>
    <mergeCell ref="S86:S87"/>
    <mergeCell ref="T4:T5"/>
    <mergeCell ref="T6:T7"/>
    <mergeCell ref="T8:T9"/>
    <mergeCell ref="T12:T13"/>
    <mergeCell ref="T14:T15"/>
    <mergeCell ref="T16:T17"/>
    <mergeCell ref="T18:T19"/>
    <mergeCell ref="T20:T21"/>
    <mergeCell ref="T22:T23"/>
    <mergeCell ref="T26:T27"/>
    <mergeCell ref="T28:T29"/>
    <mergeCell ref="T30:T31"/>
    <mergeCell ref="T34:T35"/>
    <mergeCell ref="T36:T37"/>
    <mergeCell ref="T38:T39"/>
    <mergeCell ref="T40:T41"/>
    <mergeCell ref="T42:T43"/>
    <mergeCell ref="T44:T45"/>
    <mergeCell ref="T50:T51"/>
    <mergeCell ref="T52:T53"/>
    <mergeCell ref="T54:T55"/>
    <mergeCell ref="T58:T59"/>
    <mergeCell ref="T60:T61"/>
    <mergeCell ref="T62:T63"/>
    <mergeCell ref="T64:T65"/>
    <mergeCell ref="T66:T67"/>
    <mergeCell ref="T70:T71"/>
    <mergeCell ref="T78:T79"/>
    <mergeCell ref="T80:T81"/>
    <mergeCell ref="T82:T83"/>
    <mergeCell ref="T84:T85"/>
    <mergeCell ref="T86:T87"/>
    <mergeCell ref="U4:U5"/>
    <mergeCell ref="U6:U7"/>
    <mergeCell ref="U8:U9"/>
    <mergeCell ref="U10:U11"/>
    <mergeCell ref="U14:U15"/>
    <mergeCell ref="U16:U17"/>
    <mergeCell ref="U18:U19"/>
    <mergeCell ref="U20:U21"/>
    <mergeCell ref="U22:U23"/>
    <mergeCell ref="U26:U27"/>
    <mergeCell ref="U28:U29"/>
    <mergeCell ref="U30:U31"/>
    <mergeCell ref="U32:U33"/>
    <mergeCell ref="U36:U37"/>
    <mergeCell ref="U38:U39"/>
    <mergeCell ref="U40:U41"/>
    <mergeCell ref="U42:U43"/>
    <mergeCell ref="U44:U45"/>
    <mergeCell ref="U50:U51"/>
    <mergeCell ref="U52:U53"/>
    <mergeCell ref="U54:U55"/>
    <mergeCell ref="U56:U57"/>
    <mergeCell ref="U60:U61"/>
    <mergeCell ref="U62:U63"/>
    <mergeCell ref="U64:U65"/>
    <mergeCell ref="U66:U67"/>
    <mergeCell ref="U70:U71"/>
    <mergeCell ref="U74:U75"/>
    <mergeCell ref="U76:U77"/>
    <mergeCell ref="U80:U81"/>
    <mergeCell ref="U82:U83"/>
    <mergeCell ref="U84:U85"/>
    <mergeCell ref="U86:U87"/>
    <mergeCell ref="V4:V5"/>
    <mergeCell ref="V6:V7"/>
    <mergeCell ref="V8:V9"/>
    <mergeCell ref="V10:V11"/>
    <mergeCell ref="V14:V15"/>
    <mergeCell ref="V16:V17"/>
    <mergeCell ref="V18:V19"/>
    <mergeCell ref="V20:V21"/>
    <mergeCell ref="V22:V23"/>
    <mergeCell ref="V26:V27"/>
    <mergeCell ref="V28:V29"/>
    <mergeCell ref="V30:V31"/>
    <mergeCell ref="V32:V33"/>
    <mergeCell ref="V36:V37"/>
    <mergeCell ref="V38:V39"/>
    <mergeCell ref="V40:V41"/>
    <mergeCell ref="V42:V43"/>
    <mergeCell ref="V44:V45"/>
    <mergeCell ref="V50:V51"/>
    <mergeCell ref="V52:V53"/>
    <mergeCell ref="V54:V55"/>
    <mergeCell ref="V56:V57"/>
    <mergeCell ref="V60:V61"/>
    <mergeCell ref="V62:V63"/>
    <mergeCell ref="V64:V65"/>
    <mergeCell ref="V66:V67"/>
    <mergeCell ref="V70:V71"/>
    <mergeCell ref="V72:V73"/>
    <mergeCell ref="V74:V75"/>
    <mergeCell ref="V76:V77"/>
    <mergeCell ref="V80:V81"/>
    <mergeCell ref="V82:V83"/>
    <mergeCell ref="V84:V85"/>
    <mergeCell ref="V86:V87"/>
    <mergeCell ref="W4:W5"/>
    <mergeCell ref="W6:W7"/>
    <mergeCell ref="W8:W9"/>
    <mergeCell ref="W10:W11"/>
    <mergeCell ref="W14:W15"/>
    <mergeCell ref="W16:W17"/>
    <mergeCell ref="W18:W19"/>
    <mergeCell ref="W20:W21"/>
    <mergeCell ref="W22:W23"/>
    <mergeCell ref="W26:W27"/>
    <mergeCell ref="W28:W29"/>
    <mergeCell ref="W30:W31"/>
    <mergeCell ref="W32:W33"/>
    <mergeCell ref="W36:W37"/>
    <mergeCell ref="W38:W39"/>
    <mergeCell ref="W40:W41"/>
    <mergeCell ref="W42:W43"/>
    <mergeCell ref="W44:W45"/>
    <mergeCell ref="W50:W51"/>
    <mergeCell ref="W52:W53"/>
    <mergeCell ref="W54:W55"/>
    <mergeCell ref="W56:W57"/>
    <mergeCell ref="W60:W61"/>
    <mergeCell ref="W62:W63"/>
    <mergeCell ref="W64:W65"/>
    <mergeCell ref="W66:W67"/>
    <mergeCell ref="W70:W71"/>
    <mergeCell ref="W72:W73"/>
    <mergeCell ref="W74:W75"/>
    <mergeCell ref="W76:W77"/>
    <mergeCell ref="W80:W81"/>
    <mergeCell ref="W82:W83"/>
    <mergeCell ref="W84:W85"/>
    <mergeCell ref="W86:W87"/>
    <mergeCell ref="X4:X5"/>
    <mergeCell ref="X6:X7"/>
    <mergeCell ref="X8:X9"/>
    <mergeCell ref="X10:X11"/>
    <mergeCell ref="X14:X15"/>
    <mergeCell ref="X16:X17"/>
    <mergeCell ref="X18:X19"/>
    <mergeCell ref="X20:X21"/>
    <mergeCell ref="X22:X23"/>
    <mergeCell ref="X26:X27"/>
    <mergeCell ref="X28:X29"/>
    <mergeCell ref="X30:X31"/>
    <mergeCell ref="X32:X33"/>
    <mergeCell ref="X36:X37"/>
    <mergeCell ref="X38:X39"/>
    <mergeCell ref="X40:X41"/>
    <mergeCell ref="X42:X43"/>
    <mergeCell ref="X44:X45"/>
    <mergeCell ref="X50:X51"/>
    <mergeCell ref="X52:X53"/>
    <mergeCell ref="X54:X55"/>
    <mergeCell ref="X56:X57"/>
    <mergeCell ref="X60:X61"/>
    <mergeCell ref="X62:X63"/>
    <mergeCell ref="X64:X65"/>
    <mergeCell ref="X66:X67"/>
    <mergeCell ref="X70:X71"/>
    <mergeCell ref="X72:X73"/>
    <mergeCell ref="X74:X75"/>
    <mergeCell ref="X76:X77"/>
    <mergeCell ref="X80:X81"/>
    <mergeCell ref="X82:X83"/>
    <mergeCell ref="X84:X85"/>
    <mergeCell ref="X86:X87"/>
    <mergeCell ref="Y4:Y5"/>
    <mergeCell ref="Y6:Y7"/>
    <mergeCell ref="Y8:Y9"/>
    <mergeCell ref="Y10:Y11"/>
    <mergeCell ref="Y12:Y13"/>
    <mergeCell ref="Y16:Y17"/>
    <mergeCell ref="Y18:Y19"/>
    <mergeCell ref="Y20:Y21"/>
    <mergeCell ref="Y22:Y23"/>
    <mergeCell ref="Y26:Y27"/>
    <mergeCell ref="Y28:Y29"/>
    <mergeCell ref="Y30:Y31"/>
    <mergeCell ref="Y32:Y33"/>
    <mergeCell ref="Y34:Y35"/>
    <mergeCell ref="Y38:Y39"/>
    <mergeCell ref="Y40:Y41"/>
    <mergeCell ref="Y42:Y43"/>
    <mergeCell ref="Y44:Y45"/>
    <mergeCell ref="Y50:Y51"/>
    <mergeCell ref="Y52:Y53"/>
    <mergeCell ref="Y54:Y55"/>
    <mergeCell ref="Y56:Y57"/>
    <mergeCell ref="Y58:Y59"/>
    <mergeCell ref="Y62:Y63"/>
    <mergeCell ref="Y64:Y65"/>
    <mergeCell ref="Y66:Y67"/>
    <mergeCell ref="Y70:Y71"/>
    <mergeCell ref="Y72:Y73"/>
    <mergeCell ref="Y74:Y75"/>
    <mergeCell ref="Y76:Y77"/>
    <mergeCell ref="Y78:Y79"/>
    <mergeCell ref="Y82:Y83"/>
    <mergeCell ref="Y84:Y85"/>
    <mergeCell ref="Y86:Y87"/>
    <mergeCell ref="Z4:Z5"/>
    <mergeCell ref="Z6:Z7"/>
    <mergeCell ref="Z8:Z9"/>
    <mergeCell ref="Z10:Z11"/>
    <mergeCell ref="Z12:Z13"/>
    <mergeCell ref="Z16:Z17"/>
    <mergeCell ref="Z18:Z19"/>
    <mergeCell ref="Z20:Z21"/>
    <mergeCell ref="Z22:Z23"/>
    <mergeCell ref="Z26:Z27"/>
    <mergeCell ref="Z28:Z29"/>
    <mergeCell ref="Z30:Z31"/>
    <mergeCell ref="Z32:Z33"/>
    <mergeCell ref="Z34:Z35"/>
    <mergeCell ref="Z38:Z39"/>
    <mergeCell ref="Z40:Z41"/>
    <mergeCell ref="Z42:Z43"/>
    <mergeCell ref="Z44:Z45"/>
    <mergeCell ref="Z50:Z51"/>
    <mergeCell ref="Z52:Z53"/>
    <mergeCell ref="Z54:Z55"/>
    <mergeCell ref="Z56:Z57"/>
    <mergeCell ref="Z58:Z59"/>
    <mergeCell ref="Z62:Z63"/>
    <mergeCell ref="Z64:Z65"/>
    <mergeCell ref="Z66:Z67"/>
    <mergeCell ref="Z70:Z71"/>
    <mergeCell ref="Z72:Z73"/>
    <mergeCell ref="Z74:Z75"/>
    <mergeCell ref="Z76:Z77"/>
    <mergeCell ref="Z78:Z79"/>
    <mergeCell ref="Z82:Z83"/>
    <mergeCell ref="Z84:Z85"/>
    <mergeCell ref="Z86:Z87"/>
    <mergeCell ref="AA4:AA5"/>
    <mergeCell ref="AA6:AA7"/>
    <mergeCell ref="AA8:AA9"/>
    <mergeCell ref="AA10:AA11"/>
    <mergeCell ref="AA12:AA13"/>
    <mergeCell ref="AA16:AA17"/>
    <mergeCell ref="AA18:AA19"/>
    <mergeCell ref="AA20:AA21"/>
    <mergeCell ref="AA22:AA23"/>
    <mergeCell ref="AA26:AA27"/>
    <mergeCell ref="AA28:AA29"/>
    <mergeCell ref="AA30:AA31"/>
    <mergeCell ref="AA32:AA33"/>
    <mergeCell ref="AA34:AA35"/>
    <mergeCell ref="AA38:AA39"/>
    <mergeCell ref="AA40:AA41"/>
    <mergeCell ref="AA42:AA43"/>
    <mergeCell ref="AA44:AA45"/>
    <mergeCell ref="AA50:AA51"/>
    <mergeCell ref="AA52:AA53"/>
    <mergeCell ref="AA54:AA55"/>
    <mergeCell ref="AA56:AA57"/>
    <mergeCell ref="AA58:AA59"/>
    <mergeCell ref="AA62:AA63"/>
    <mergeCell ref="AA64:AA65"/>
    <mergeCell ref="AA66:AA67"/>
    <mergeCell ref="AA70:AA71"/>
    <mergeCell ref="AA72:AA73"/>
    <mergeCell ref="AA74:AA75"/>
    <mergeCell ref="AA76:AA77"/>
    <mergeCell ref="AA78:AA79"/>
    <mergeCell ref="AA82:AA83"/>
    <mergeCell ref="AA84:AA85"/>
    <mergeCell ref="AA86:AA87"/>
    <mergeCell ref="AB4:AB5"/>
    <mergeCell ref="AB6:AB7"/>
    <mergeCell ref="AB8:AB9"/>
    <mergeCell ref="AB10:AB11"/>
    <mergeCell ref="AB12:AB13"/>
    <mergeCell ref="AB16:AB17"/>
    <mergeCell ref="AB18:AB19"/>
    <mergeCell ref="AB20:AB21"/>
    <mergeCell ref="AB22:AB23"/>
    <mergeCell ref="AB26:AB27"/>
    <mergeCell ref="AB28:AB29"/>
    <mergeCell ref="AB30:AB31"/>
    <mergeCell ref="AB32:AB33"/>
    <mergeCell ref="AB34:AB35"/>
    <mergeCell ref="AB38:AB39"/>
    <mergeCell ref="AB40:AB41"/>
    <mergeCell ref="AB42:AB43"/>
    <mergeCell ref="AB44:AB45"/>
    <mergeCell ref="AB50:AB51"/>
    <mergeCell ref="AB52:AB53"/>
    <mergeCell ref="AB54:AB55"/>
    <mergeCell ref="AB56:AB57"/>
    <mergeCell ref="AB58:AB59"/>
    <mergeCell ref="AB62:AB63"/>
    <mergeCell ref="AB64:AB65"/>
    <mergeCell ref="AB66:AB67"/>
    <mergeCell ref="AB70:AB71"/>
    <mergeCell ref="AB72:AB73"/>
    <mergeCell ref="AB74:AB75"/>
    <mergeCell ref="AB76:AB77"/>
    <mergeCell ref="AB78:AB79"/>
    <mergeCell ref="AB82:AB83"/>
    <mergeCell ref="AB84:AB85"/>
    <mergeCell ref="AB86:AB87"/>
    <mergeCell ref="AC4:AC5"/>
    <mergeCell ref="AC6:AC7"/>
    <mergeCell ref="AC8:AC9"/>
    <mergeCell ref="AC10:AC11"/>
    <mergeCell ref="AC12:AC13"/>
    <mergeCell ref="AC14:AC15"/>
    <mergeCell ref="AC18:AC19"/>
    <mergeCell ref="AC20:AC21"/>
    <mergeCell ref="AC22:AC23"/>
    <mergeCell ref="AC26:AC27"/>
    <mergeCell ref="AC28:AC29"/>
    <mergeCell ref="AC30:AC31"/>
    <mergeCell ref="AC32:AC33"/>
    <mergeCell ref="AC34:AC35"/>
    <mergeCell ref="AC36:AC37"/>
    <mergeCell ref="AC40:AC41"/>
    <mergeCell ref="AC42:AC43"/>
    <mergeCell ref="AC44:AC45"/>
    <mergeCell ref="AC50:AC51"/>
    <mergeCell ref="AC52:AC53"/>
    <mergeCell ref="AC54:AC55"/>
    <mergeCell ref="AC56:AC57"/>
    <mergeCell ref="AC58:AC59"/>
    <mergeCell ref="AC60:AC61"/>
    <mergeCell ref="AC64:AC65"/>
    <mergeCell ref="AC66:AC67"/>
    <mergeCell ref="AC70:AC71"/>
    <mergeCell ref="AC72:AC73"/>
    <mergeCell ref="AC74:AC75"/>
    <mergeCell ref="AC76:AC77"/>
    <mergeCell ref="AC78:AC79"/>
    <mergeCell ref="AC80:AC81"/>
    <mergeCell ref="AC84:AC85"/>
    <mergeCell ref="AC86:AC87"/>
    <mergeCell ref="AD4:AD5"/>
    <mergeCell ref="AD6:AD7"/>
    <mergeCell ref="AD8:AD9"/>
    <mergeCell ref="AD10:AD11"/>
    <mergeCell ref="AD12:AD13"/>
    <mergeCell ref="AD14:AD15"/>
    <mergeCell ref="AD18:AD19"/>
    <mergeCell ref="AD20:AD21"/>
    <mergeCell ref="AD22:AD23"/>
    <mergeCell ref="AD26:AD27"/>
    <mergeCell ref="AD28:AD29"/>
    <mergeCell ref="AD30:AD31"/>
    <mergeCell ref="AD32:AD33"/>
    <mergeCell ref="AD34:AD35"/>
    <mergeCell ref="AD36:AD37"/>
    <mergeCell ref="AD40:AD41"/>
    <mergeCell ref="AD42:AD43"/>
    <mergeCell ref="AD44:AD45"/>
    <mergeCell ref="AD50:AD51"/>
    <mergeCell ref="AD52:AD53"/>
    <mergeCell ref="AD54:AD55"/>
    <mergeCell ref="AD56:AD57"/>
    <mergeCell ref="AD58:AD59"/>
    <mergeCell ref="AD60:AD61"/>
    <mergeCell ref="AD64:AD65"/>
    <mergeCell ref="AD66:AD67"/>
    <mergeCell ref="AD70:AD71"/>
    <mergeCell ref="AD72:AD73"/>
    <mergeCell ref="AD74:AD75"/>
    <mergeCell ref="AD76:AD77"/>
    <mergeCell ref="AD78:AD79"/>
    <mergeCell ref="AD80:AD81"/>
    <mergeCell ref="AD84:AD85"/>
    <mergeCell ref="AD86:AD87"/>
    <mergeCell ref="AE4:AE5"/>
    <mergeCell ref="AE6:AE7"/>
    <mergeCell ref="AE8:AE9"/>
    <mergeCell ref="AE10:AE11"/>
    <mergeCell ref="AE12:AE13"/>
    <mergeCell ref="AE14:AE15"/>
    <mergeCell ref="AE18:AE19"/>
    <mergeCell ref="AE20:AE21"/>
    <mergeCell ref="AE22:AE23"/>
    <mergeCell ref="AE26:AE27"/>
    <mergeCell ref="AE28:AE29"/>
    <mergeCell ref="AE30:AE31"/>
    <mergeCell ref="AE32:AE33"/>
    <mergeCell ref="AE34:AE35"/>
    <mergeCell ref="AE36:AE37"/>
    <mergeCell ref="AE40:AE41"/>
    <mergeCell ref="AE42:AE43"/>
    <mergeCell ref="AE44:AE45"/>
    <mergeCell ref="AE50:AE51"/>
    <mergeCell ref="AE52:AE53"/>
    <mergeCell ref="AE54:AE55"/>
    <mergeCell ref="AE56:AE57"/>
    <mergeCell ref="AE58:AE59"/>
    <mergeCell ref="AE60:AE61"/>
    <mergeCell ref="AE64:AE65"/>
    <mergeCell ref="AE66:AE67"/>
    <mergeCell ref="AE70:AE71"/>
    <mergeCell ref="AE72:AE73"/>
    <mergeCell ref="AE74:AE75"/>
    <mergeCell ref="AE76:AE77"/>
    <mergeCell ref="AE78:AE79"/>
    <mergeCell ref="AE80:AE81"/>
    <mergeCell ref="AE84:AE85"/>
    <mergeCell ref="AE86:AE87"/>
    <mergeCell ref="AF4:AF5"/>
    <mergeCell ref="AF6:AF7"/>
    <mergeCell ref="AF8:AF9"/>
    <mergeCell ref="AF10:AF11"/>
    <mergeCell ref="AF12:AF13"/>
    <mergeCell ref="AF14:AF15"/>
    <mergeCell ref="AF18:AF19"/>
    <mergeCell ref="AF20:AF21"/>
    <mergeCell ref="AF22:AF23"/>
    <mergeCell ref="AF26:AF27"/>
    <mergeCell ref="AF28:AF29"/>
    <mergeCell ref="AF30:AF31"/>
    <mergeCell ref="AF32:AF33"/>
    <mergeCell ref="AF34:AF35"/>
    <mergeCell ref="AF36:AF37"/>
    <mergeCell ref="AF40:AF41"/>
    <mergeCell ref="AF42:AF43"/>
    <mergeCell ref="AF44:AF45"/>
    <mergeCell ref="AF50:AF51"/>
    <mergeCell ref="AF52:AF53"/>
    <mergeCell ref="AF54:AF55"/>
    <mergeCell ref="AF56:AF57"/>
    <mergeCell ref="AF58:AF59"/>
    <mergeCell ref="AF60:AF61"/>
    <mergeCell ref="AF64:AF65"/>
    <mergeCell ref="AF66:AF67"/>
    <mergeCell ref="AF70:AF71"/>
    <mergeCell ref="AF72:AF73"/>
    <mergeCell ref="AF74:AF75"/>
    <mergeCell ref="AF76:AF77"/>
    <mergeCell ref="AF78:AF79"/>
    <mergeCell ref="AF80:AF81"/>
    <mergeCell ref="AF84:AF85"/>
    <mergeCell ref="AF86:AF87"/>
    <mergeCell ref="AG4:AG5"/>
    <mergeCell ref="AG6:AG7"/>
    <mergeCell ref="AG8:AG9"/>
    <mergeCell ref="AG10:AG11"/>
    <mergeCell ref="AG12:AG13"/>
    <mergeCell ref="AG14:AG15"/>
    <mergeCell ref="AG16:AG17"/>
    <mergeCell ref="AG20:AG21"/>
    <mergeCell ref="AG22:AG23"/>
    <mergeCell ref="AG26:AG27"/>
    <mergeCell ref="AG28:AG29"/>
    <mergeCell ref="AG30:AG31"/>
    <mergeCell ref="AG32:AG33"/>
    <mergeCell ref="AG34:AG35"/>
    <mergeCell ref="AG36:AG37"/>
    <mergeCell ref="AG38:AG39"/>
    <mergeCell ref="AG42:AG43"/>
    <mergeCell ref="AG44:AG45"/>
    <mergeCell ref="AG50:AG51"/>
    <mergeCell ref="AG52:AG53"/>
    <mergeCell ref="AG54:AG55"/>
    <mergeCell ref="AG56:AG57"/>
    <mergeCell ref="AG58:AG59"/>
    <mergeCell ref="AG60:AG61"/>
    <mergeCell ref="AG62:AG63"/>
    <mergeCell ref="AG66:AG67"/>
    <mergeCell ref="AG70:AG71"/>
    <mergeCell ref="AG72:AG73"/>
    <mergeCell ref="AG74:AG75"/>
    <mergeCell ref="AG76:AG77"/>
    <mergeCell ref="AG78:AG79"/>
    <mergeCell ref="AG80:AG81"/>
    <mergeCell ref="AG82:AG83"/>
    <mergeCell ref="AG86:AG87"/>
    <mergeCell ref="AH4:AH5"/>
    <mergeCell ref="AH6:AH7"/>
    <mergeCell ref="AH8:AH9"/>
    <mergeCell ref="AH10:AH11"/>
    <mergeCell ref="AH12:AH13"/>
    <mergeCell ref="AH14:AH15"/>
    <mergeCell ref="AH16:AH17"/>
    <mergeCell ref="AH20:AH21"/>
    <mergeCell ref="AH22:AH23"/>
    <mergeCell ref="AH26:AH27"/>
    <mergeCell ref="AH28:AH29"/>
    <mergeCell ref="AH30:AH31"/>
    <mergeCell ref="AH32:AH33"/>
    <mergeCell ref="AH34:AH35"/>
    <mergeCell ref="AH36:AH37"/>
    <mergeCell ref="AH38:AH39"/>
    <mergeCell ref="AH42:AH43"/>
    <mergeCell ref="AH44:AH45"/>
    <mergeCell ref="AH50:AH51"/>
    <mergeCell ref="AH52:AH53"/>
    <mergeCell ref="AH54:AH55"/>
    <mergeCell ref="AH56:AH57"/>
    <mergeCell ref="AH58:AH59"/>
    <mergeCell ref="AH60:AH61"/>
    <mergeCell ref="AH62:AH63"/>
    <mergeCell ref="AH66:AH67"/>
    <mergeCell ref="AH70:AH71"/>
    <mergeCell ref="AH72:AH73"/>
    <mergeCell ref="AH74:AH75"/>
    <mergeCell ref="AH76:AH77"/>
    <mergeCell ref="AH78:AH79"/>
    <mergeCell ref="AH80:AH81"/>
    <mergeCell ref="AH82:AH83"/>
    <mergeCell ref="AH86:AH87"/>
    <mergeCell ref="AI4:AI5"/>
    <mergeCell ref="AI6:AI7"/>
    <mergeCell ref="AI8:AI9"/>
    <mergeCell ref="AI10:AI11"/>
    <mergeCell ref="AI12:AI13"/>
    <mergeCell ref="AI14:AI15"/>
    <mergeCell ref="AI16:AI17"/>
    <mergeCell ref="AI20:AI21"/>
    <mergeCell ref="AI22:AI23"/>
    <mergeCell ref="AI26:AI27"/>
    <mergeCell ref="AI28:AI29"/>
    <mergeCell ref="AI30:AI31"/>
    <mergeCell ref="AI32:AI33"/>
    <mergeCell ref="AI34:AI35"/>
    <mergeCell ref="AI36:AI37"/>
    <mergeCell ref="AI38:AI39"/>
    <mergeCell ref="AI42:AI43"/>
    <mergeCell ref="AI44:AI45"/>
    <mergeCell ref="AI50:AI51"/>
    <mergeCell ref="AI52:AI53"/>
    <mergeCell ref="AI54:AI55"/>
    <mergeCell ref="AI56:AI57"/>
    <mergeCell ref="AI58:AI59"/>
    <mergeCell ref="AI60:AI61"/>
    <mergeCell ref="AI62:AI63"/>
    <mergeCell ref="AI66:AI67"/>
    <mergeCell ref="AI70:AI71"/>
    <mergeCell ref="AI72:AI73"/>
    <mergeCell ref="AI74:AI75"/>
    <mergeCell ref="AI76:AI77"/>
    <mergeCell ref="AI78:AI79"/>
    <mergeCell ref="AI80:AI81"/>
    <mergeCell ref="AI82:AI83"/>
    <mergeCell ref="AI86:AI87"/>
    <mergeCell ref="AJ8:AJ9"/>
    <mergeCell ref="AJ10:AJ11"/>
    <mergeCell ref="AJ12:AJ13"/>
    <mergeCell ref="AJ14:AJ15"/>
    <mergeCell ref="AJ16:AJ17"/>
    <mergeCell ref="AJ20:AJ21"/>
    <mergeCell ref="AJ22:AJ23"/>
    <mergeCell ref="AJ26:AJ27"/>
    <mergeCell ref="AJ28:AJ29"/>
    <mergeCell ref="AJ30:AJ31"/>
    <mergeCell ref="AJ32:AJ33"/>
    <mergeCell ref="AJ34:AJ35"/>
    <mergeCell ref="AJ36:AJ37"/>
    <mergeCell ref="AJ38:AJ39"/>
    <mergeCell ref="AJ42:AJ43"/>
    <mergeCell ref="AJ44:AJ45"/>
    <mergeCell ref="AJ50:AJ51"/>
    <mergeCell ref="AJ52:AJ53"/>
    <mergeCell ref="AJ54:AJ55"/>
    <mergeCell ref="AJ56:AJ57"/>
    <mergeCell ref="AJ58:AJ59"/>
    <mergeCell ref="AJ60:AJ61"/>
    <mergeCell ref="AJ62:AJ63"/>
    <mergeCell ref="AJ66:AJ67"/>
    <mergeCell ref="AJ70:AJ71"/>
    <mergeCell ref="AJ72:AJ73"/>
    <mergeCell ref="AJ74:AJ75"/>
    <mergeCell ref="AJ76:AJ77"/>
    <mergeCell ref="AJ78:AJ79"/>
    <mergeCell ref="AJ80:AJ81"/>
    <mergeCell ref="AJ82:AJ83"/>
    <mergeCell ref="AJ86:AJ87"/>
    <mergeCell ref="AK4:AK5"/>
    <mergeCell ref="AK6:AK7"/>
    <mergeCell ref="AK8:AK9"/>
    <mergeCell ref="AK10:AK11"/>
    <mergeCell ref="AK12:AK13"/>
    <mergeCell ref="AK14:AK15"/>
    <mergeCell ref="AK16:AK17"/>
    <mergeCell ref="AK18:AK19"/>
    <mergeCell ref="AK22:AK23"/>
    <mergeCell ref="AK26:AK27"/>
    <mergeCell ref="AK28:AK29"/>
    <mergeCell ref="AK30:AK31"/>
    <mergeCell ref="AK32:AK33"/>
    <mergeCell ref="AK34:AK35"/>
    <mergeCell ref="AK36:AK37"/>
    <mergeCell ref="AK38:AK39"/>
    <mergeCell ref="AK40:AK41"/>
    <mergeCell ref="AK44:AK45"/>
    <mergeCell ref="AK50:AK51"/>
    <mergeCell ref="AK52:AK53"/>
    <mergeCell ref="AK54:AK55"/>
    <mergeCell ref="AK56:AK57"/>
    <mergeCell ref="AK58:AK59"/>
    <mergeCell ref="AK60:AK61"/>
    <mergeCell ref="AK62:AK63"/>
    <mergeCell ref="AK64:AK65"/>
    <mergeCell ref="AK70:AK71"/>
    <mergeCell ref="AK72:AK73"/>
    <mergeCell ref="AK74:AK75"/>
    <mergeCell ref="AK76:AK77"/>
    <mergeCell ref="AK78:AK79"/>
    <mergeCell ref="AK80:AK81"/>
    <mergeCell ref="AK82:AK83"/>
    <mergeCell ref="AK84:AK85"/>
    <mergeCell ref="AL8:AL9"/>
    <mergeCell ref="AL10:AL11"/>
    <mergeCell ref="AL12:AL13"/>
    <mergeCell ref="AL14:AL15"/>
    <mergeCell ref="AL16:AL17"/>
    <mergeCell ref="AL18:AL19"/>
    <mergeCell ref="AL22:AL23"/>
    <mergeCell ref="AL26:AL27"/>
    <mergeCell ref="AL28:AL29"/>
    <mergeCell ref="AL30:AL31"/>
    <mergeCell ref="AL32:AL33"/>
    <mergeCell ref="AL34:AL35"/>
    <mergeCell ref="AL36:AL37"/>
    <mergeCell ref="AL38:AL39"/>
    <mergeCell ref="AL40:AL41"/>
    <mergeCell ref="AL44:AL45"/>
    <mergeCell ref="AL50:AL51"/>
    <mergeCell ref="AM10:AM11"/>
    <mergeCell ref="AM12:AM13"/>
    <mergeCell ref="AM14:AM15"/>
    <mergeCell ref="AM16:AM17"/>
    <mergeCell ref="AM18:AM19"/>
    <mergeCell ref="AM22:AM23"/>
    <mergeCell ref="AM26:AM27"/>
    <mergeCell ref="AM28:AM29"/>
    <mergeCell ref="AM30:AM31"/>
    <mergeCell ref="AM32:AM33"/>
    <mergeCell ref="AM34:AM35"/>
    <mergeCell ref="AM36:AM37"/>
    <mergeCell ref="AM38:AM39"/>
    <mergeCell ref="AM40:AM41"/>
    <mergeCell ref="AM78:AM79"/>
    <mergeCell ref="AM80:AM81"/>
    <mergeCell ref="AM44:AM45"/>
    <mergeCell ref="AM50:AM51"/>
    <mergeCell ref="AM82:AM83"/>
    <mergeCell ref="AM84:AM85"/>
    <mergeCell ref="AL52:AL53"/>
    <mergeCell ref="AL54:AL55"/>
    <mergeCell ref="AL56:AL57"/>
    <mergeCell ref="AL58:AL59"/>
    <mergeCell ref="AL60:AL61"/>
    <mergeCell ref="AL62:AL63"/>
    <mergeCell ref="AL64:AL65"/>
    <mergeCell ref="AL70:AL71"/>
    <mergeCell ref="AL72:AL73"/>
    <mergeCell ref="AL74:AL75"/>
    <mergeCell ref="AL76:AL77"/>
    <mergeCell ref="AL78:AL79"/>
    <mergeCell ref="AL80:AL81"/>
    <mergeCell ref="AL82:AL83"/>
    <mergeCell ref="AL84:AL85"/>
    <mergeCell ref="AM52:AM53"/>
    <mergeCell ref="AM54:AM55"/>
    <mergeCell ref="AM56:AM57"/>
    <mergeCell ref="AM58:AM59"/>
    <mergeCell ref="AM60:AM61"/>
    <mergeCell ref="AM62:AM63"/>
    <mergeCell ref="AM64:AM65"/>
    <mergeCell ref="AM70:AM71"/>
    <mergeCell ref="AM72:AM73"/>
    <mergeCell ref="AM74:AM75"/>
    <mergeCell ref="AM76:AM77"/>
    <mergeCell ref="AN58:AN59"/>
    <mergeCell ref="AN60:AN61"/>
    <mergeCell ref="AN62:AN63"/>
    <mergeCell ref="AN64:AN65"/>
    <mergeCell ref="AN70:AN71"/>
    <mergeCell ref="AN72:AN73"/>
    <mergeCell ref="AN74:AN75"/>
    <mergeCell ref="AN76:AN77"/>
    <mergeCell ref="AN78:AN79"/>
    <mergeCell ref="AN80:AN81"/>
    <mergeCell ref="AN82:AN83"/>
    <mergeCell ref="AN84:AN85"/>
    <mergeCell ref="AO4:AO5"/>
    <mergeCell ref="AO6:AO7"/>
    <mergeCell ref="AO8:AO9"/>
    <mergeCell ref="AO10:AO11"/>
    <mergeCell ref="AO12:AO13"/>
    <mergeCell ref="AO14:AO15"/>
    <mergeCell ref="AO16:AO17"/>
    <mergeCell ref="AO18:AO19"/>
    <mergeCell ref="AO20:AO21"/>
    <mergeCell ref="AO26:AO27"/>
    <mergeCell ref="AO28:AO29"/>
    <mergeCell ref="AO30:AO31"/>
    <mergeCell ref="AO32:AO33"/>
    <mergeCell ref="AO34:AO35"/>
    <mergeCell ref="AO36:AO37"/>
    <mergeCell ref="AO38:AO39"/>
    <mergeCell ref="AO40:AO41"/>
    <mergeCell ref="AN8:AN9"/>
    <mergeCell ref="AN10:AN11"/>
    <mergeCell ref="AN12:AN13"/>
    <mergeCell ref="AO42:AO43"/>
    <mergeCell ref="AN38:AN39"/>
    <mergeCell ref="AN40:AN41"/>
    <mergeCell ref="AN44:AN45"/>
    <mergeCell ref="AN50:AN51"/>
    <mergeCell ref="AP8:AP9"/>
    <mergeCell ref="AP10:AP11"/>
    <mergeCell ref="AP12:AP13"/>
    <mergeCell ref="AP14:AP15"/>
    <mergeCell ref="AP16:AP17"/>
    <mergeCell ref="AP18:AP19"/>
    <mergeCell ref="AP20:AP21"/>
    <mergeCell ref="AP26:AP27"/>
    <mergeCell ref="AP28:AP29"/>
    <mergeCell ref="AP30:AP31"/>
    <mergeCell ref="AP32:AP33"/>
    <mergeCell ref="AP34:AP35"/>
    <mergeCell ref="AP36:AP37"/>
    <mergeCell ref="AP38:AP39"/>
    <mergeCell ref="AP40:AP41"/>
    <mergeCell ref="AP42:AP43"/>
    <mergeCell ref="AO22:AR23"/>
    <mergeCell ref="AQ8:AQ9"/>
    <mergeCell ref="AQ10:AQ11"/>
    <mergeCell ref="AQ12:AQ13"/>
    <mergeCell ref="AQ14:AQ15"/>
    <mergeCell ref="AQ16:AQ17"/>
    <mergeCell ref="AQ18:AQ19"/>
    <mergeCell ref="AQ20:AQ21"/>
    <mergeCell ref="AQ26:AQ27"/>
    <mergeCell ref="AQ28:AQ29"/>
    <mergeCell ref="AQ30:AQ31"/>
    <mergeCell ref="AQ34:AQ35"/>
    <mergeCell ref="AQ36:AQ37"/>
    <mergeCell ref="AQ38:AQ39"/>
    <mergeCell ref="AQ40:AQ41"/>
    <mergeCell ref="AQ42:AQ43"/>
    <mergeCell ref="AR6:AR7"/>
    <mergeCell ref="AR8:AR9"/>
    <mergeCell ref="AR10:AR11"/>
    <mergeCell ref="AR12:AR13"/>
    <mergeCell ref="AR14:AR15"/>
    <mergeCell ref="AR16:AR17"/>
    <mergeCell ref="AR18:AR19"/>
    <mergeCell ref="AR20:AR21"/>
    <mergeCell ref="AR26:AR27"/>
    <mergeCell ref="AR28:AR29"/>
    <mergeCell ref="AR30:AR31"/>
    <mergeCell ref="AR32:AR33"/>
    <mergeCell ref="AR34:AR35"/>
    <mergeCell ref="AR36:AR37"/>
    <mergeCell ref="AR38:AR39"/>
    <mergeCell ref="AR40:AR41"/>
    <mergeCell ref="AR42:AR43"/>
    <mergeCell ref="AS4:AS5"/>
    <mergeCell ref="AS6:AS7"/>
    <mergeCell ref="AS8:AS9"/>
    <mergeCell ref="AS10:AS11"/>
    <mergeCell ref="AS12:AS13"/>
    <mergeCell ref="AS14:AS15"/>
    <mergeCell ref="AS16:AS17"/>
    <mergeCell ref="AS18:AS19"/>
    <mergeCell ref="AS20:AS21"/>
    <mergeCell ref="AS22:AS23"/>
    <mergeCell ref="AS26:AS27"/>
    <mergeCell ref="AS28:AS29"/>
    <mergeCell ref="AS30:AS31"/>
    <mergeCell ref="AS32:AS33"/>
    <mergeCell ref="AS34:AS35"/>
    <mergeCell ref="AS36:AS37"/>
    <mergeCell ref="AS38:AS39"/>
    <mergeCell ref="AS40:AS41"/>
    <mergeCell ref="AS42:AS43"/>
    <mergeCell ref="AS44:AS45"/>
    <mergeCell ref="AS50:AS51"/>
    <mergeCell ref="AS52:AS53"/>
    <mergeCell ref="AS54:AS55"/>
    <mergeCell ref="AS56:AS57"/>
    <mergeCell ref="AS58:AS59"/>
    <mergeCell ref="AS60:AS61"/>
    <mergeCell ref="AS62:AS63"/>
    <mergeCell ref="AS64:AS65"/>
    <mergeCell ref="AS66:AS67"/>
    <mergeCell ref="AS70:AS71"/>
    <mergeCell ref="AS72:AS73"/>
    <mergeCell ref="AS74:AS75"/>
    <mergeCell ref="AS76:AS77"/>
    <mergeCell ref="AS78:AS79"/>
    <mergeCell ref="AS80:AS81"/>
    <mergeCell ref="AS82:AS83"/>
    <mergeCell ref="AS84:AS85"/>
    <mergeCell ref="AS86:AS87"/>
    <mergeCell ref="AT4:AT5"/>
    <mergeCell ref="AT6:AT7"/>
    <mergeCell ref="AT8:AT9"/>
    <mergeCell ref="AT10:AT11"/>
    <mergeCell ref="AT12:AT13"/>
    <mergeCell ref="AT14:AT15"/>
    <mergeCell ref="AT16:AT17"/>
    <mergeCell ref="AT18:AT19"/>
    <mergeCell ref="AT20:AT21"/>
    <mergeCell ref="AT22:AT23"/>
    <mergeCell ref="AT26:AT27"/>
    <mergeCell ref="AT28:AT29"/>
    <mergeCell ref="AT30:AT31"/>
    <mergeCell ref="AT32:AT33"/>
    <mergeCell ref="AT34:AT35"/>
    <mergeCell ref="AT36:AT37"/>
    <mergeCell ref="AT38:AT39"/>
    <mergeCell ref="AT40:AT41"/>
    <mergeCell ref="AT42:AT43"/>
    <mergeCell ref="AT44:AT45"/>
    <mergeCell ref="AT50:AT51"/>
    <mergeCell ref="AT52:AT53"/>
    <mergeCell ref="AT54:AT55"/>
    <mergeCell ref="AT56:AT57"/>
    <mergeCell ref="AT58:AT59"/>
    <mergeCell ref="AT60:AT61"/>
    <mergeCell ref="AT62:AT63"/>
    <mergeCell ref="AT64:AT65"/>
    <mergeCell ref="AT66:AT67"/>
    <mergeCell ref="AT70:AT71"/>
    <mergeCell ref="AT72:AT73"/>
    <mergeCell ref="AT74:AT75"/>
    <mergeCell ref="AT76:AT77"/>
    <mergeCell ref="AT78:AT79"/>
    <mergeCell ref="AT80:AT81"/>
    <mergeCell ref="AT82:AT83"/>
    <mergeCell ref="AT84:AT85"/>
    <mergeCell ref="AT86:AT87"/>
    <mergeCell ref="AU4:AU5"/>
    <mergeCell ref="AU6:AU7"/>
    <mergeCell ref="AU8:AU9"/>
    <mergeCell ref="AU10:AU11"/>
    <mergeCell ref="AU12:AU13"/>
    <mergeCell ref="AU14:AU15"/>
    <mergeCell ref="AU16:AU17"/>
    <mergeCell ref="AU18:AU19"/>
    <mergeCell ref="AU20:AU21"/>
    <mergeCell ref="AU22:AU23"/>
    <mergeCell ref="AU26:AU27"/>
    <mergeCell ref="AU28:AU29"/>
    <mergeCell ref="AU30:AU31"/>
    <mergeCell ref="AU32:AU33"/>
    <mergeCell ref="AU34:AU35"/>
    <mergeCell ref="AU36:AU37"/>
    <mergeCell ref="AU38:AU39"/>
    <mergeCell ref="AU40:AU41"/>
    <mergeCell ref="AU42:AU43"/>
    <mergeCell ref="AU44:AU45"/>
    <mergeCell ref="AU50:AU51"/>
    <mergeCell ref="AU52:AU53"/>
    <mergeCell ref="AU54:AU55"/>
    <mergeCell ref="AU56:AU57"/>
    <mergeCell ref="AU58:AU59"/>
    <mergeCell ref="AU60:AU61"/>
    <mergeCell ref="AU62:AU63"/>
    <mergeCell ref="AU64:AU65"/>
    <mergeCell ref="AU66:AU67"/>
    <mergeCell ref="AU70:AU71"/>
    <mergeCell ref="AU72:AU73"/>
    <mergeCell ref="AU74:AU75"/>
    <mergeCell ref="AU76:AU77"/>
    <mergeCell ref="AU78:AU79"/>
    <mergeCell ref="AU80:AU81"/>
    <mergeCell ref="AU82:AU83"/>
    <mergeCell ref="AU84:AU85"/>
    <mergeCell ref="AU86:AU87"/>
    <mergeCell ref="AV4:AV5"/>
    <mergeCell ref="AV6:AV7"/>
    <mergeCell ref="AV8:AV9"/>
    <mergeCell ref="AV10:AV11"/>
    <mergeCell ref="AV12:AV13"/>
    <mergeCell ref="AV14:AV15"/>
    <mergeCell ref="AV16:AV17"/>
    <mergeCell ref="AV18:AV19"/>
    <mergeCell ref="AV20:AV21"/>
    <mergeCell ref="AV22:AV23"/>
    <mergeCell ref="AV26:AV27"/>
    <mergeCell ref="AV28:AV29"/>
    <mergeCell ref="AV30:AV31"/>
    <mergeCell ref="AV32:AV33"/>
    <mergeCell ref="AV34:AV35"/>
    <mergeCell ref="AV36:AV37"/>
    <mergeCell ref="AV38:AV39"/>
    <mergeCell ref="AV40:AV41"/>
    <mergeCell ref="AV42:AV43"/>
    <mergeCell ref="AV44:AV45"/>
    <mergeCell ref="AV50:AV51"/>
    <mergeCell ref="AV52:AV53"/>
    <mergeCell ref="AV54:AV55"/>
    <mergeCell ref="AV56:AV57"/>
    <mergeCell ref="AV58:AV59"/>
    <mergeCell ref="AV60:AV61"/>
    <mergeCell ref="AV62:AV63"/>
    <mergeCell ref="AV64:AV65"/>
    <mergeCell ref="AV66:AV67"/>
    <mergeCell ref="AV70:AV71"/>
    <mergeCell ref="AV72:AV73"/>
    <mergeCell ref="AV74:AV75"/>
    <mergeCell ref="AV76:AV77"/>
    <mergeCell ref="AV78:AV79"/>
    <mergeCell ref="AV80:AV81"/>
    <mergeCell ref="AV82:AV83"/>
    <mergeCell ref="AV84:AV85"/>
    <mergeCell ref="AV86:AV87"/>
    <mergeCell ref="AW4:AW5"/>
    <mergeCell ref="AW6:AW7"/>
    <mergeCell ref="AW8:AW9"/>
    <mergeCell ref="AW10:AW11"/>
    <mergeCell ref="AW12:AW13"/>
    <mergeCell ref="AW14:AW15"/>
    <mergeCell ref="AW16:AW17"/>
    <mergeCell ref="AW18:AW19"/>
    <mergeCell ref="AW20:AW21"/>
    <mergeCell ref="AW22:AW23"/>
    <mergeCell ref="AW26:AW27"/>
    <mergeCell ref="AW28:AW29"/>
    <mergeCell ref="AW30:AW31"/>
    <mergeCell ref="AW32:AW33"/>
    <mergeCell ref="AW34:AW35"/>
    <mergeCell ref="AW36:AW37"/>
    <mergeCell ref="AW38:AW39"/>
    <mergeCell ref="AW40:AW41"/>
    <mergeCell ref="AW42:AW43"/>
    <mergeCell ref="AW44:AW45"/>
    <mergeCell ref="AW50:AW51"/>
    <mergeCell ref="AW52:AW53"/>
    <mergeCell ref="AW54:AW55"/>
    <mergeCell ref="AW56:AW57"/>
    <mergeCell ref="AW58:AW59"/>
    <mergeCell ref="AW60:AW61"/>
    <mergeCell ref="AW62:AW63"/>
    <mergeCell ref="AW64:AW65"/>
    <mergeCell ref="AW66:AW67"/>
    <mergeCell ref="AW70:AW71"/>
    <mergeCell ref="AW72:AW73"/>
    <mergeCell ref="AW74:AW75"/>
    <mergeCell ref="AW76:AW77"/>
    <mergeCell ref="AW78:AW79"/>
    <mergeCell ref="AW80:AW81"/>
    <mergeCell ref="AW82:AW83"/>
    <mergeCell ref="AW84:AW85"/>
    <mergeCell ref="AW86:AW87"/>
    <mergeCell ref="AX4:AX5"/>
    <mergeCell ref="AX6:AX7"/>
    <mergeCell ref="AX8:AX9"/>
    <mergeCell ref="AX10:AX11"/>
    <mergeCell ref="AX12:AX13"/>
    <mergeCell ref="AX14:AX15"/>
    <mergeCell ref="AX16:AX17"/>
    <mergeCell ref="AX18:AX19"/>
    <mergeCell ref="AX20:AX21"/>
    <mergeCell ref="AX22:AX23"/>
    <mergeCell ref="AX26:AX27"/>
    <mergeCell ref="AX28:AX29"/>
    <mergeCell ref="AX30:AX31"/>
    <mergeCell ref="AX32:AX33"/>
    <mergeCell ref="AX34:AX35"/>
    <mergeCell ref="AX36:AX37"/>
    <mergeCell ref="AX38:AX39"/>
    <mergeCell ref="AX40:AX41"/>
    <mergeCell ref="AX42:AX43"/>
    <mergeCell ref="AX44:AX45"/>
    <mergeCell ref="AX50:AX51"/>
    <mergeCell ref="AX52:AX53"/>
    <mergeCell ref="AX54:AX55"/>
    <mergeCell ref="AY4:AY5"/>
    <mergeCell ref="AY6:AY7"/>
    <mergeCell ref="AY8:AY9"/>
    <mergeCell ref="AY10:AY11"/>
    <mergeCell ref="AY12:AY13"/>
    <mergeCell ref="AY14:AY15"/>
    <mergeCell ref="AY16:AY17"/>
    <mergeCell ref="AY18:AY19"/>
    <mergeCell ref="AY20:AY21"/>
    <mergeCell ref="AY22:AY23"/>
    <mergeCell ref="AY26:AY27"/>
    <mergeCell ref="AY28:AY29"/>
    <mergeCell ref="AY30:AY31"/>
    <mergeCell ref="AY32:AY33"/>
    <mergeCell ref="AY34:AY35"/>
    <mergeCell ref="AY36:AY37"/>
    <mergeCell ref="AY38:AY39"/>
    <mergeCell ref="AY76:AY77"/>
    <mergeCell ref="AY78:AY79"/>
    <mergeCell ref="AX56:AX57"/>
    <mergeCell ref="AX58:AX59"/>
    <mergeCell ref="AX60:AX61"/>
    <mergeCell ref="AX62:AX63"/>
    <mergeCell ref="AX64:AX65"/>
    <mergeCell ref="AX66:AX67"/>
    <mergeCell ref="AX70:AX71"/>
    <mergeCell ref="AX72:AX73"/>
    <mergeCell ref="AX74:AX75"/>
    <mergeCell ref="AX76:AX77"/>
    <mergeCell ref="AX78:AX79"/>
    <mergeCell ref="AX80:AX81"/>
    <mergeCell ref="AX82:AX83"/>
    <mergeCell ref="AX84:AX85"/>
    <mergeCell ref="AX86:AX87"/>
    <mergeCell ref="AZ40:AZ41"/>
    <mergeCell ref="AZ42:AZ43"/>
    <mergeCell ref="AZ44:AZ45"/>
    <mergeCell ref="AZ50:AZ51"/>
    <mergeCell ref="AZ52:AZ53"/>
    <mergeCell ref="AZ54:AZ55"/>
    <mergeCell ref="AZ56:AZ57"/>
    <mergeCell ref="AZ58:AZ59"/>
    <mergeCell ref="AZ60:AZ61"/>
    <mergeCell ref="AZ62:AZ63"/>
    <mergeCell ref="AZ64:AZ65"/>
    <mergeCell ref="AY40:AY41"/>
    <mergeCell ref="AY42:AY43"/>
    <mergeCell ref="AY44:AY45"/>
    <mergeCell ref="AY50:AY51"/>
    <mergeCell ref="AY52:AY53"/>
    <mergeCell ref="AY54:AY55"/>
    <mergeCell ref="AY56:AY57"/>
    <mergeCell ref="AY58:AY59"/>
    <mergeCell ref="AY60:AY61"/>
    <mergeCell ref="AY62:AY63"/>
    <mergeCell ref="AY64:AY65"/>
    <mergeCell ref="AZ4:AZ5"/>
    <mergeCell ref="AZ6:AZ7"/>
    <mergeCell ref="AZ8:AZ9"/>
    <mergeCell ref="AZ10:AZ11"/>
    <mergeCell ref="AZ12:AZ13"/>
    <mergeCell ref="AZ14:AZ15"/>
    <mergeCell ref="AZ16:AZ17"/>
    <mergeCell ref="AZ18:AZ19"/>
    <mergeCell ref="AZ20:AZ21"/>
    <mergeCell ref="AZ22:AZ23"/>
    <mergeCell ref="AZ26:AZ27"/>
    <mergeCell ref="AZ28:AZ29"/>
    <mergeCell ref="AZ30:AZ31"/>
    <mergeCell ref="AZ32:AZ33"/>
    <mergeCell ref="AZ34:AZ35"/>
    <mergeCell ref="AZ36:AZ37"/>
    <mergeCell ref="AZ38:AZ39"/>
    <mergeCell ref="AZ66:AZ67"/>
    <mergeCell ref="AZ70:AZ71"/>
    <mergeCell ref="AZ72:AZ73"/>
    <mergeCell ref="AZ74:AZ75"/>
    <mergeCell ref="AZ76:AZ77"/>
    <mergeCell ref="AZ78:AZ79"/>
    <mergeCell ref="AZ80:AZ81"/>
    <mergeCell ref="AZ82:AZ83"/>
    <mergeCell ref="AZ84:AZ85"/>
    <mergeCell ref="AZ86:AZ87"/>
    <mergeCell ref="U58:X59"/>
    <mergeCell ref="Y60:AB61"/>
    <mergeCell ref="AC62:AF63"/>
    <mergeCell ref="AG64:AJ65"/>
    <mergeCell ref="AK66:AN67"/>
    <mergeCell ref="I72:L73"/>
    <mergeCell ref="E70:H71"/>
    <mergeCell ref="Q76:T77"/>
    <mergeCell ref="M74:P75"/>
    <mergeCell ref="U78:X79"/>
    <mergeCell ref="Y80:AB81"/>
    <mergeCell ref="AC82:AF83"/>
    <mergeCell ref="AG84:AJ85"/>
    <mergeCell ref="AK86:AN87"/>
    <mergeCell ref="AY80:AY81"/>
    <mergeCell ref="AY82:AY83"/>
    <mergeCell ref="AY84:AY85"/>
    <mergeCell ref="AY86:AY87"/>
    <mergeCell ref="AY66:AY67"/>
    <mergeCell ref="AY70:AY71"/>
    <mergeCell ref="AY72:AY73"/>
    <mergeCell ref="AY74:AY75"/>
    <mergeCell ref="Q56:T57"/>
    <mergeCell ref="Q10:T11"/>
    <mergeCell ref="M8:P9"/>
    <mergeCell ref="U12:X13"/>
    <mergeCell ref="Y14:AB15"/>
    <mergeCell ref="AC16:AF17"/>
    <mergeCell ref="AG18:AJ19"/>
    <mergeCell ref="AK20:AN21"/>
    <mergeCell ref="E26:H27"/>
    <mergeCell ref="I28:L29"/>
    <mergeCell ref="M30:P31"/>
    <mergeCell ref="Q32:T33"/>
    <mergeCell ref="U34:X35"/>
    <mergeCell ref="Y36:AB37"/>
    <mergeCell ref="AC38:AF39"/>
    <mergeCell ref="AG40:AJ41"/>
    <mergeCell ref="E50:H51"/>
    <mergeCell ref="AK42:AN43"/>
    <mergeCell ref="AN52:AN53"/>
    <mergeCell ref="AN54:AN55"/>
    <mergeCell ref="AN56:AN57"/>
    <mergeCell ref="AN14:AN15"/>
    <mergeCell ref="AN16:AN17"/>
    <mergeCell ref="AN18:AN19"/>
    <mergeCell ref="AN22:AN23"/>
    <mergeCell ref="AN26:AN27"/>
    <mergeCell ref="AN28:AN29"/>
    <mergeCell ref="AN30:AN31"/>
    <mergeCell ref="AN32:AN33"/>
    <mergeCell ref="AN34:AN35"/>
    <mergeCell ref="AN36:AN37"/>
    <mergeCell ref="AM8:AM9"/>
  </mergeCells>
  <phoneticPr fontId="53"/>
  <conditionalFormatting sqref="I4:I5 H6:H23 AG4:AG17 AC4:AC15 Y4:Y13 Q4:Q9 M4:M7 P10:P23 T12:T23 X14:X23 AB16:AB23 U4:U11 Q12:R23 U14:V23 Y16:Z23 AC18:AD23 AF18:AF23 AK4:AK19 I50:I51 H52:H67 AG50:AG63 AC50:AC61 Y50:Y59 Q50:Q55 M50:M53 L54:L67 P56:P67 T58:T67 X60:X67 AB62:AB67 U50:U57 I54:J67 M56:N67 Q58:R67 U60:V67 Y62:Z67 E52:F67 AF64:AF67 AC64:AD67 AG66:AH67 AJ66:AJ67 AK50:AK65 AO4:AO21 AG20:AH20 AJ20 L8:L23 M10:N23 AG22:AH23 AJ22:AL23 AN22:AN23 I8:J23 E6:F23">
    <cfRule type="cellIs" dxfId="12" priority="11" stopIfTrue="1" operator="equal">
      <formula>"H"</formula>
    </cfRule>
  </conditionalFormatting>
  <conditionalFormatting sqref="U28 X40:Z40 AG38 L36:N36 L32:N32 AG30 Y34 AJ44:AL44 T42:V42 P42:R42 AJ42 AB42:AD42 I26 AN44 AO42 L42:N42 E44:F44 T44:V44 X44:Z44 AF44:AH44 X42:Z42 AF42:AH42 H44:J44 P44:R44 E36:F36 AK40 L40:N40 H42:J42 AK38 AF40 L44:N44 E42:F42 X38:Z38 E40:F40 P40:R40 H40:J40 AB40:AD40 AB38 T38:V38 T40:V40 AO36 T36:V36 AC36 H38:J38 P38:R38 AK36 E38:F38 L38:N38 AO38 AG36 AO34 P34:R34 Y32 AO32 X36 P36:R36 AG34 H36:J36 T34 AK34 H32:J32 P32 E32:F32 L34:N34 E34:F34 Q30 AK32 H34:J34 AC32 L30 AC34 U32 AC30 AO28 H30:J30 M28 E30:F30 AC28 Y30 AK30 U30 AG28 AG32 Q28 H28 E28:F28 Q26 AG26 AK26 AO30 AO26 M26 AK28 Y28 AC26 Y26 U26 AO40 AB44:AD44">
    <cfRule type="cellIs" dxfId="11" priority="5" stopIfTrue="1" operator="equal">
      <formula>"H"</formula>
    </cfRule>
  </conditionalFormatting>
  <conditionalFormatting sqref="I70:I71 H72:H87 AG70:AG83 AC70:AC81 Y70:Y79 Q70:Q75 M70:M73 L74:L87 P76:P87 T78:T87 X80:X87 AB82:AB87 U70:U77 I74:J87 M76:N87 Q78:R87 U80:V87 Y82:Z87 E72:F87 AF84:AF87 AC84:AD87 AG86:AH87 AJ86:AJ87 AK70:AK85">
    <cfRule type="cellIs" dxfId="10" priority="4" stopIfTrue="1" operator="equal">
      <formula>"H"</formula>
    </cfRule>
  </conditionalFormatting>
  <conditionalFormatting sqref="I4:I5 H6:H23 AG4:AG17 AC4:AC15 Y4:Y13 Q4:Q9 M4:M7 P10:P23 T12:T23 X14:X23 AB16:AB23 U4:U11 Q12:R23 U14:V23 Y16:Z23 AC18:AD23 AF18:AF23 AK4:AK19 I50:I51 H52:H67 AG50:AG63 AC50:AC61 Y50:Y59 Q50:Q55 M50:M53 L54:L67 P56:P67 T58:T67 X60:X67 AB62:AB67 U50:U57 I54:J67 M56:N67 Q58:R67 U60:V67 Y62:Z67 E52:F67 AF64:AF67 AC64:AD67 AG66:AH67 AJ66:AJ67 AK50:AK65 AO4:AO21 AG20:AH20 AJ20 L8:L23 M10:N23 AG22:AH23 AJ22:AL23 AN22:AN23 I8:J23 E6:F23">
    <cfRule type="cellIs" dxfId="9" priority="3" stopIfTrue="1" operator="equal">
      <formula>"H"</formula>
    </cfRule>
  </conditionalFormatting>
  <conditionalFormatting sqref="U28 X40:Z40 AG38 L36:N36 L32:N32 AG30 Y34 AJ44:AL44 T42:V42 P42:R42 AJ42 AB42:AD42 I26 AN44 AO42 L42:N42 E44:F44 T44:V44 X44:Z44 AF44:AH44 X42:Z42 AF42:AH42 H44:J44 P44:R44 E36:F36 AK40 L40:N40 H42:J42 AK38 AF40 L44:N44 E42:F42 X38:Z38 E40:F40 P40:R40 H40:J40 AB40:AD40 AB38 T38:V38 T40:V40 AO36 T36:V36 AC36 H38:J38 P38:R38 AK36 E38:F38 L38:N38 AO38 AG36 AO34 P34:R34 Y32 AO32 X36 P36:R36 AG34 H36:J36 T34 AK34 H32:J32 P32 E32:F32 L34:N34 E34:F34 Q30 AK32 H34:J34 AC32 L30 AC34 U32 AC30 AO28 H30:J30 M28 E30:F30 AC28 Y30 AK30 U30 AG28 AG32 Q28 H28 E28:F28 Q26 AG26 AK26 AO30 AO26 M26 AK28 Y28 AC26 Y26 U26 AO40 AB44:AD44">
    <cfRule type="cellIs" dxfId="8" priority="2" stopIfTrue="1" operator="equal">
      <formula>"H"</formula>
    </cfRule>
  </conditionalFormatting>
  <conditionalFormatting sqref="I70:I71 H72:H87 AG70:AG83 AC70:AC81 Y70:Y79 Q70:Q75 M70:M73 L74:L87 P76:P87 T78:T87 X80:X87 AB82:AB87 U70:U77 I74:J87 M76:N87 Q78:R87 U80:V87 Y82:Z87 E72:F87 AF84:AF87 AC84:AD87 AG86:AH87 AJ86:AJ87 AK70:AK85">
    <cfRule type="cellIs" dxfId="7" priority="1" stopIfTrue="1" operator="equal">
      <formula>"H"</formula>
    </cfRule>
  </conditionalFormatting>
  <printOptions horizontalCentered="1"/>
  <pageMargins left="0" right="0" top="0.59027777777777801" bottom="0" header="0" footer="0"/>
  <pageSetup paperSize="9" scale="56" orientation="landscape" r:id="rId1"/>
  <headerFooter alignWithMargins="0"/>
  <rowBreaks count="1" manualBreakCount="1">
    <brk id="46" max="5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/>
  <dimension ref="A1:W43"/>
  <sheetViews>
    <sheetView view="pageBreakPreview" zoomScaleNormal="100" zoomScaleSheetLayoutView="100" workbookViewId="0">
      <selection sqref="A1:L1"/>
    </sheetView>
  </sheetViews>
  <sheetFormatPr defaultColWidth="8.75" defaultRowHeight="13.5" x14ac:dyDescent="0.4"/>
  <cols>
    <col min="1" max="1" width="3.5" style="1" customWidth="1"/>
    <col min="2" max="2" width="5.25" style="1" customWidth="1"/>
    <col min="3" max="3" width="20" style="1" bestFit="1" customWidth="1"/>
    <col min="4" max="4" width="6.875" style="1" customWidth="1"/>
    <col min="5" max="5" width="7.125" style="1" customWidth="1"/>
    <col min="6" max="8" width="8.75" style="1"/>
    <col min="9" max="9" width="8.75" style="1" hidden="1" customWidth="1"/>
    <col min="10" max="10" width="6.5" style="1" customWidth="1"/>
    <col min="11" max="11" width="7.875" style="2" hidden="1" customWidth="1"/>
    <col min="12" max="12" width="8.75" style="3" customWidth="1"/>
    <col min="13" max="13" width="10.25" style="1" customWidth="1"/>
    <col min="14" max="14" width="8.75" style="1"/>
    <col min="15" max="15" width="38.5" style="1" customWidth="1"/>
    <col min="16" max="16384" width="8.75" style="1"/>
  </cols>
  <sheetData>
    <row r="1" spans="1:23" ht="18.75" x14ac:dyDescent="0.4">
      <c r="A1" s="696" t="s">
        <v>281</v>
      </c>
      <c r="B1" s="697"/>
      <c r="C1" s="697"/>
      <c r="D1" s="697"/>
      <c r="E1" s="697"/>
      <c r="F1" s="697"/>
      <c r="G1" s="697"/>
      <c r="H1" s="697"/>
      <c r="I1" s="697"/>
      <c r="J1" s="697"/>
      <c r="K1" s="697"/>
      <c r="L1" s="698"/>
      <c r="O1" s="24" t="s">
        <v>103</v>
      </c>
    </row>
    <row r="2" spans="1:23" ht="18.75" x14ac:dyDescent="0.4">
      <c r="A2" s="696" t="s">
        <v>293</v>
      </c>
      <c r="B2" s="697"/>
      <c r="C2" s="697"/>
      <c r="D2" s="697"/>
      <c r="E2" s="697"/>
      <c r="F2" s="697"/>
      <c r="G2" s="697"/>
      <c r="H2" s="697"/>
      <c r="I2" s="697"/>
      <c r="J2" s="697"/>
      <c r="K2" s="697"/>
      <c r="L2" s="698"/>
      <c r="O2" s="133" t="s">
        <v>104</v>
      </c>
    </row>
    <row r="3" spans="1:23" ht="18.75" x14ac:dyDescent="0.15">
      <c r="A3" s="696"/>
      <c r="B3" s="698"/>
      <c r="C3" s="698"/>
      <c r="D3" s="698"/>
      <c r="E3" s="698"/>
      <c r="F3" s="698"/>
      <c r="G3" s="698"/>
      <c r="H3" s="698"/>
      <c r="I3" s="698"/>
      <c r="J3" s="698"/>
      <c r="K3" s="698"/>
      <c r="L3" s="698"/>
      <c r="O3" s="699" t="s">
        <v>105</v>
      </c>
      <c r="P3" s="700"/>
      <c r="Q3" s="700"/>
      <c r="R3" s="700"/>
      <c r="S3" s="700"/>
      <c r="T3" s="700"/>
      <c r="U3" s="700"/>
      <c r="V3" s="700"/>
      <c r="W3" s="701"/>
    </row>
    <row r="4" spans="1:23" ht="18.75" x14ac:dyDescent="0.15">
      <c r="A4" s="702" t="s">
        <v>106</v>
      </c>
      <c r="B4" s="703"/>
      <c r="C4" s="703"/>
      <c r="D4" s="703"/>
      <c r="E4" s="703"/>
      <c r="F4" s="703"/>
      <c r="G4" s="703"/>
      <c r="H4" s="703"/>
      <c r="I4" s="703"/>
      <c r="J4" s="703"/>
      <c r="K4" s="399"/>
      <c r="L4" s="399"/>
    </row>
    <row r="5" spans="1:23" ht="19.5" customHeight="1" x14ac:dyDescent="0.4">
      <c r="B5" s="694" t="s">
        <v>107</v>
      </c>
      <c r="C5" s="695"/>
      <c r="D5" s="4" t="s">
        <v>56</v>
      </c>
      <c r="E5" s="5" t="s">
        <v>57</v>
      </c>
      <c r="F5" s="6" t="s">
        <v>60</v>
      </c>
      <c r="G5" s="7" t="s">
        <v>58</v>
      </c>
      <c r="H5" s="8" t="s">
        <v>28</v>
      </c>
      <c r="I5" s="25"/>
      <c r="J5" s="26" t="s">
        <v>108</v>
      </c>
      <c r="L5" s="27" t="str">
        <f ca="1">IF(J$17&lt;&gt;J$18,"",IF(J5=J$17,"出場候補",""))</f>
        <v/>
      </c>
    </row>
    <row r="6" spans="1:23" ht="20.100000000000001" customHeight="1" x14ac:dyDescent="0.4">
      <c r="A6" s="1">
        <v>1</v>
      </c>
      <c r="B6" s="9" t="str">
        <f ca="1">■!A38</f>
        <v>D08</v>
      </c>
      <c r="C6" s="137" t="str">
        <f>■!B38</f>
        <v>上河内ＪＳＣ</v>
      </c>
      <c r="D6" s="10">
        <f ca="1">■!C38</f>
        <v>6</v>
      </c>
      <c r="E6" s="11">
        <f ca="1">■!D38</f>
        <v>4</v>
      </c>
      <c r="F6" s="12">
        <f t="shared" ref="F6:F43" ca="1" si="0">IF(E6=0,0,D6/(E6*3))</f>
        <v>0.5</v>
      </c>
      <c r="G6" s="13">
        <f ca="1">■!F38</f>
        <v>0</v>
      </c>
      <c r="H6" s="14">
        <f ca="1">■!G38</f>
        <v>3</v>
      </c>
      <c r="I6" s="28">
        <f t="shared" ref="I6:I43" ca="1" si="1">F6</f>
        <v>0.5</v>
      </c>
      <c r="J6" s="29" t="str">
        <f t="shared" ref="J6:J43" ca="1" si="2">RANK(I6,$I$6:$I$43,0)&amp;"位"</f>
        <v>15位</v>
      </c>
      <c r="K6" s="30"/>
      <c r="L6" s="27"/>
    </row>
    <row r="7" spans="1:23" ht="20.100000000000001" customHeight="1" x14ac:dyDescent="0.4">
      <c r="A7" s="1">
        <v>2</v>
      </c>
      <c r="B7" s="15" t="str">
        <f ca="1">■!A17</f>
        <v>B06</v>
      </c>
      <c r="C7" s="138" t="str">
        <f>■!B17</f>
        <v>雀宮ＦＣセカンド</v>
      </c>
      <c r="D7" s="16">
        <f ca="1">■!C17</f>
        <v>2</v>
      </c>
      <c r="E7" s="17">
        <f ca="1">■!D17</f>
        <v>4</v>
      </c>
      <c r="F7" s="18">
        <f t="shared" ca="1" si="0"/>
        <v>0.16666666666666666</v>
      </c>
      <c r="G7" s="17">
        <f ca="1">■!F17</f>
        <v>-10</v>
      </c>
      <c r="H7" s="19">
        <f ca="1">■!G17</f>
        <v>1</v>
      </c>
      <c r="I7" s="28">
        <f t="shared" ca="1" si="1"/>
        <v>0.16666666666666666</v>
      </c>
      <c r="J7" s="31" t="str">
        <f t="shared" ca="1" si="2"/>
        <v>31位</v>
      </c>
      <c r="K7" s="32"/>
      <c r="L7" s="27"/>
      <c r="M7" s="33"/>
      <c r="N7" s="33"/>
    </row>
    <row r="8" spans="1:23" ht="20.100000000000001" customHeight="1" x14ac:dyDescent="0.4">
      <c r="A8" s="1">
        <v>3</v>
      </c>
      <c r="B8" s="20" t="str">
        <f ca="1">■!A36</f>
        <v>D06</v>
      </c>
      <c r="C8" s="137" t="str">
        <f>■!B36</f>
        <v>富士見ＳＳＳ</v>
      </c>
      <c r="D8" s="10">
        <f ca="1">■!C36</f>
        <v>4</v>
      </c>
      <c r="E8" s="11">
        <f ca="1">■!D36</f>
        <v>4</v>
      </c>
      <c r="F8" s="12">
        <f t="shared" ca="1" si="0"/>
        <v>0.33333333333333331</v>
      </c>
      <c r="G8" s="13">
        <f ca="1">■!F36</f>
        <v>-2</v>
      </c>
      <c r="H8" s="14">
        <f ca="1">■!G36</f>
        <v>4</v>
      </c>
      <c r="I8" s="28">
        <f t="shared" ca="1" si="1"/>
        <v>0.33333333333333331</v>
      </c>
      <c r="J8" s="29" t="str">
        <f t="shared" ca="1" si="2"/>
        <v>19位</v>
      </c>
      <c r="K8" s="32"/>
      <c r="L8" s="27"/>
    </row>
    <row r="9" spans="1:23" ht="20.100000000000001" customHeight="1" x14ac:dyDescent="0.4">
      <c r="A9" s="1">
        <v>4</v>
      </c>
      <c r="B9" s="20" t="str">
        <f ca="1">■!A9</f>
        <v>A08</v>
      </c>
      <c r="C9" s="137" t="str">
        <f>■!B9</f>
        <v>ブラッドレスＳＳ</v>
      </c>
      <c r="D9" s="10">
        <f ca="1">■!C9</f>
        <v>2</v>
      </c>
      <c r="E9" s="11">
        <f ca="1">■!D9</f>
        <v>4</v>
      </c>
      <c r="F9" s="12">
        <f t="shared" ca="1" si="0"/>
        <v>0.16666666666666666</v>
      </c>
      <c r="G9" s="13">
        <f ca="1">■!F9</f>
        <v>-2</v>
      </c>
      <c r="H9" s="14">
        <f ca="1">■!G9</f>
        <v>3</v>
      </c>
      <c r="I9" s="28">
        <f t="shared" ca="1" si="1"/>
        <v>0.16666666666666666</v>
      </c>
      <c r="J9" s="29" t="str">
        <f t="shared" ca="1" si="2"/>
        <v>31位</v>
      </c>
      <c r="K9" s="32"/>
      <c r="L9" s="27"/>
    </row>
    <row r="10" spans="1:23" ht="20.100000000000001" customHeight="1" x14ac:dyDescent="0.4">
      <c r="A10" s="1">
        <v>5</v>
      </c>
      <c r="B10" s="20" t="str">
        <f ca="1">■!A12</f>
        <v>B01</v>
      </c>
      <c r="C10" s="137" t="str">
        <f>■!B12</f>
        <v>ＳＵＧＡＯ ＳＣ</v>
      </c>
      <c r="D10" s="10">
        <f ca="1">■!C12</f>
        <v>4</v>
      </c>
      <c r="E10" s="11">
        <f ca="1">■!D12</f>
        <v>4</v>
      </c>
      <c r="F10" s="12">
        <f t="shared" ca="1" si="0"/>
        <v>0.33333333333333331</v>
      </c>
      <c r="G10" s="13">
        <f ca="1">■!F12</f>
        <v>-7</v>
      </c>
      <c r="H10" s="14">
        <f ca="1">■!G12</f>
        <v>5</v>
      </c>
      <c r="I10" s="28">
        <f t="shared" ca="1" si="1"/>
        <v>0.33333333333333331</v>
      </c>
      <c r="J10" s="29" t="str">
        <f t="shared" ca="1" si="2"/>
        <v>19位</v>
      </c>
      <c r="K10" s="32"/>
      <c r="L10" s="27"/>
    </row>
    <row r="11" spans="1:23" ht="20.100000000000001" customHeight="1" x14ac:dyDescent="0.4">
      <c r="A11" s="1">
        <v>6</v>
      </c>
      <c r="B11" s="20" t="str">
        <f ca="1">■!A27</f>
        <v>C06</v>
      </c>
      <c r="C11" s="137" t="str">
        <f>■!B27</f>
        <v>ＦＣアネーロ･U-12</v>
      </c>
      <c r="D11" s="10">
        <f ca="1">■!C27</f>
        <v>12</v>
      </c>
      <c r="E11" s="11">
        <f ca="1">■!D27</f>
        <v>4</v>
      </c>
      <c r="F11" s="12">
        <f t="shared" ca="1" si="0"/>
        <v>1</v>
      </c>
      <c r="G11" s="13">
        <f ca="1">■!F27</f>
        <v>10</v>
      </c>
      <c r="H11" s="14">
        <f ca="1">■!G27</f>
        <v>11</v>
      </c>
      <c r="I11" s="28">
        <f t="shared" ca="1" si="1"/>
        <v>1</v>
      </c>
      <c r="J11" s="29" t="str">
        <f t="shared" ca="1" si="2"/>
        <v>1位</v>
      </c>
      <c r="K11" s="32"/>
      <c r="L11" s="27"/>
    </row>
    <row r="12" spans="1:23" ht="20.100000000000001" customHeight="1" x14ac:dyDescent="0.4">
      <c r="A12" s="1">
        <v>7</v>
      </c>
      <c r="B12" s="20" t="str">
        <f ca="1">■!A30</f>
        <v>C09</v>
      </c>
      <c r="C12" s="137" t="str">
        <f>■!B30</f>
        <v>上三川ＦＣ</v>
      </c>
      <c r="D12" s="10">
        <f ca="1">■!C30</f>
        <v>3</v>
      </c>
      <c r="E12" s="11">
        <f ca="1">■!D30</f>
        <v>4</v>
      </c>
      <c r="F12" s="12">
        <f t="shared" ca="1" si="0"/>
        <v>0.25</v>
      </c>
      <c r="G12" s="13">
        <f ca="1">■!F30</f>
        <v>-11</v>
      </c>
      <c r="H12" s="14">
        <f ca="1">■!G30</f>
        <v>2</v>
      </c>
      <c r="I12" s="28">
        <f t="shared" ca="1" si="1"/>
        <v>0.25</v>
      </c>
      <c r="J12" s="29" t="str">
        <f t="shared" ca="1" si="2"/>
        <v>27位</v>
      </c>
      <c r="K12" s="32"/>
      <c r="L12" s="27"/>
    </row>
    <row r="13" spans="1:23" ht="20.100000000000001" customHeight="1" x14ac:dyDescent="0.4">
      <c r="A13" s="1">
        <v>8</v>
      </c>
      <c r="B13" s="20" t="str">
        <f ca="1">■!A2</f>
        <v>A01</v>
      </c>
      <c r="C13" s="137" t="str">
        <f>■!B2</f>
        <v>岡西ＦＣ</v>
      </c>
      <c r="D13" s="10">
        <f ca="1">■!C2</f>
        <v>4</v>
      </c>
      <c r="E13" s="11">
        <f ca="1">■!D2</f>
        <v>4</v>
      </c>
      <c r="F13" s="12">
        <f t="shared" ca="1" si="0"/>
        <v>0.33333333333333331</v>
      </c>
      <c r="G13" s="13">
        <f ca="1">■!F2</f>
        <v>-3</v>
      </c>
      <c r="H13" s="14">
        <f ca="1">■!G2</f>
        <v>2</v>
      </c>
      <c r="I13" s="28">
        <f t="shared" ca="1" si="1"/>
        <v>0.33333333333333331</v>
      </c>
      <c r="J13" s="29" t="str">
        <f t="shared" ca="1" si="2"/>
        <v>19位</v>
      </c>
      <c r="K13" s="32"/>
      <c r="L13" s="27"/>
    </row>
    <row r="14" spans="1:23" ht="20.100000000000001" customHeight="1" x14ac:dyDescent="0.4">
      <c r="A14" s="1">
        <v>9</v>
      </c>
      <c r="B14" s="20" t="str">
        <f ca="1">■!A18</f>
        <v>B07</v>
      </c>
      <c r="C14" s="137" t="str">
        <f>■!B18</f>
        <v>ともぞうＳＣ</v>
      </c>
      <c r="D14" s="10">
        <f ca="1">■!C18</f>
        <v>12</v>
      </c>
      <c r="E14" s="11">
        <f ca="1">■!D18</f>
        <v>4</v>
      </c>
      <c r="F14" s="12">
        <f t="shared" ca="1" si="0"/>
        <v>1</v>
      </c>
      <c r="G14" s="13">
        <f ca="1">■!F18</f>
        <v>29</v>
      </c>
      <c r="H14" s="14">
        <f ca="1">■!G18</f>
        <v>29</v>
      </c>
      <c r="I14" s="28">
        <f t="shared" ca="1" si="1"/>
        <v>1</v>
      </c>
      <c r="J14" s="29" t="str">
        <f t="shared" ca="1" si="2"/>
        <v>1位</v>
      </c>
      <c r="K14" s="32"/>
      <c r="L14" s="27"/>
    </row>
    <row r="15" spans="1:23" ht="20.100000000000001" customHeight="1" x14ac:dyDescent="0.4">
      <c r="A15" s="1">
        <v>10</v>
      </c>
      <c r="B15" s="20" t="str">
        <f ca="1">■!A7</f>
        <v>A06</v>
      </c>
      <c r="C15" s="137" t="str">
        <f>■!B7</f>
        <v>宝木キッカーズ</v>
      </c>
      <c r="D15" s="10">
        <f ca="1">■!C7</f>
        <v>7</v>
      </c>
      <c r="E15" s="11">
        <f ca="1">■!D7</f>
        <v>4</v>
      </c>
      <c r="F15" s="12">
        <f t="shared" ca="1" si="0"/>
        <v>0.58333333333333337</v>
      </c>
      <c r="G15" s="13">
        <f ca="1">■!F7</f>
        <v>6</v>
      </c>
      <c r="H15" s="14">
        <f ca="1">■!G7</f>
        <v>11</v>
      </c>
      <c r="I15" s="28">
        <f t="shared" ca="1" si="1"/>
        <v>0.58333333333333337</v>
      </c>
      <c r="J15" s="29" t="str">
        <f t="shared" ca="1" si="2"/>
        <v>10位</v>
      </c>
      <c r="K15" s="32"/>
      <c r="L15" s="27"/>
    </row>
    <row r="16" spans="1:23" ht="20.100000000000001" customHeight="1" x14ac:dyDescent="0.4">
      <c r="A16" s="1">
        <v>11</v>
      </c>
      <c r="B16" s="20" t="str">
        <f ca="1">■!A11</f>
        <v>A10</v>
      </c>
      <c r="C16" s="137" t="str">
        <f>■!B11</f>
        <v>昭和・戸祭ＳＣ-S</v>
      </c>
      <c r="D16" s="10">
        <f ca="1">■!C11</f>
        <v>12</v>
      </c>
      <c r="E16" s="11">
        <f ca="1">■!D11</f>
        <v>4</v>
      </c>
      <c r="F16" s="12">
        <f t="shared" ca="1" si="0"/>
        <v>1</v>
      </c>
      <c r="G16" s="13">
        <f ca="1">■!F11</f>
        <v>7</v>
      </c>
      <c r="H16" s="14">
        <f ca="1">■!G11</f>
        <v>8</v>
      </c>
      <c r="I16" s="28">
        <f t="shared" ca="1" si="1"/>
        <v>1</v>
      </c>
      <c r="J16" s="29" t="str">
        <f t="shared" ca="1" si="2"/>
        <v>1位</v>
      </c>
      <c r="K16" s="32"/>
      <c r="L16" s="27"/>
    </row>
    <row r="17" spans="1:14" ht="20.100000000000001" customHeight="1" x14ac:dyDescent="0.4">
      <c r="A17" s="1">
        <v>12</v>
      </c>
      <c r="B17" s="15" t="str">
        <f ca="1">■!A34</f>
        <v>D04</v>
      </c>
      <c r="C17" s="138" t="str">
        <f>■!B34</f>
        <v>カテット白沢ＳＳ</v>
      </c>
      <c r="D17" s="16">
        <f ca="1">■!C34</f>
        <v>5</v>
      </c>
      <c r="E17" s="17">
        <f ca="1">■!D34</f>
        <v>4</v>
      </c>
      <c r="F17" s="18">
        <f t="shared" ca="1" si="0"/>
        <v>0.41666666666666669</v>
      </c>
      <c r="G17" s="21">
        <f ca="1">■!F34</f>
        <v>1</v>
      </c>
      <c r="H17" s="19">
        <f ca="1">■!G34</f>
        <v>2</v>
      </c>
      <c r="I17" s="28">
        <f t="shared" ca="1" si="1"/>
        <v>0.41666666666666669</v>
      </c>
      <c r="J17" s="31" t="str">
        <f t="shared" ca="1" si="2"/>
        <v>17位</v>
      </c>
      <c r="K17" s="34"/>
      <c r="L17" s="27"/>
    </row>
    <row r="18" spans="1:14" ht="20.100000000000001" customHeight="1" x14ac:dyDescent="0.4">
      <c r="A18" s="1">
        <v>13</v>
      </c>
      <c r="B18" s="15" t="str">
        <f ca="1">■!A20</f>
        <v>B09</v>
      </c>
      <c r="C18" s="138" t="str">
        <f>■!B20</f>
        <v>上三川ＳＣ</v>
      </c>
      <c r="D18" s="16">
        <f ca="1">■!C20</f>
        <v>4</v>
      </c>
      <c r="E18" s="17">
        <f ca="1">■!D20</f>
        <v>4</v>
      </c>
      <c r="F18" s="18">
        <f t="shared" ca="1" si="0"/>
        <v>0.33333333333333331</v>
      </c>
      <c r="G18" s="22">
        <f ca="1">■!F20</f>
        <v>-3</v>
      </c>
      <c r="H18" s="23">
        <f ca="1">■!G20</f>
        <v>4</v>
      </c>
      <c r="I18" s="28">
        <f t="shared" ca="1" si="1"/>
        <v>0.33333333333333331</v>
      </c>
      <c r="J18" s="31" t="str">
        <f t="shared" ca="1" si="2"/>
        <v>19位</v>
      </c>
      <c r="K18" s="35"/>
      <c r="L18" s="27"/>
    </row>
    <row r="19" spans="1:14" ht="20.100000000000001" customHeight="1" x14ac:dyDescent="0.4">
      <c r="A19" s="1">
        <v>14</v>
      </c>
      <c r="B19" s="15" t="str">
        <f ca="1">■!A22</f>
        <v>C01</v>
      </c>
      <c r="C19" s="138" t="str">
        <f>■!B22</f>
        <v>清原ＳＳＳ</v>
      </c>
      <c r="D19" s="16">
        <f ca="1">■!C22</f>
        <v>7</v>
      </c>
      <c r="E19" s="17">
        <f ca="1">■!D22</f>
        <v>4</v>
      </c>
      <c r="F19" s="18">
        <f t="shared" ca="1" si="0"/>
        <v>0.58333333333333337</v>
      </c>
      <c r="G19" s="11">
        <f ca="1">■!F22</f>
        <v>-5</v>
      </c>
      <c r="H19" s="14">
        <f ca="1">■!G22</f>
        <v>6</v>
      </c>
      <c r="I19" s="28">
        <f t="shared" ca="1" si="1"/>
        <v>0.58333333333333337</v>
      </c>
      <c r="J19" s="31" t="str">
        <f t="shared" ca="1" si="2"/>
        <v>10位</v>
      </c>
      <c r="K19" s="36"/>
      <c r="L19" s="27"/>
    </row>
    <row r="20" spans="1:14" ht="20.100000000000001" customHeight="1" x14ac:dyDescent="0.4">
      <c r="A20" s="1">
        <v>15</v>
      </c>
      <c r="B20" s="15" t="str">
        <f ca="1">■!A35</f>
        <v>D05</v>
      </c>
      <c r="C20" s="138" t="str">
        <f>■!B35</f>
        <v>雀宮ＦＣ</v>
      </c>
      <c r="D20" s="16">
        <f ca="1">■!C35</f>
        <v>8</v>
      </c>
      <c r="E20" s="17">
        <f ca="1">■!D35</f>
        <v>4</v>
      </c>
      <c r="F20" s="18">
        <f t="shared" ca="1" si="0"/>
        <v>0.66666666666666663</v>
      </c>
      <c r="G20" s="11">
        <f ca="1">■!F35</f>
        <v>7</v>
      </c>
      <c r="H20" s="14">
        <f ca="1">■!G35</f>
        <v>7</v>
      </c>
      <c r="I20" s="28">
        <f t="shared" ca="1" si="1"/>
        <v>0.66666666666666663</v>
      </c>
      <c r="J20" s="31" t="str">
        <f t="shared" ca="1" si="2"/>
        <v>9位</v>
      </c>
      <c r="K20" s="36"/>
      <c r="L20" s="27"/>
    </row>
    <row r="21" spans="1:14" ht="20.100000000000001" customHeight="1" x14ac:dyDescent="0.4">
      <c r="A21" s="1">
        <v>16</v>
      </c>
      <c r="B21" s="15" t="str">
        <f ca="1">■!A6</f>
        <v>A05</v>
      </c>
      <c r="C21" s="138" t="str">
        <f>■!B6</f>
        <v>ｕｎｉｏｎｓｃU12</v>
      </c>
      <c r="D21" s="16">
        <f ca="1">■!C6</f>
        <v>7</v>
      </c>
      <c r="E21" s="17">
        <f ca="1">■!D6</f>
        <v>4</v>
      </c>
      <c r="F21" s="18">
        <f t="shared" ca="1" si="0"/>
        <v>0.58333333333333337</v>
      </c>
      <c r="G21" s="11">
        <f ca="1">■!F6</f>
        <v>4</v>
      </c>
      <c r="H21" s="14">
        <f ca="1">■!G6</f>
        <v>7</v>
      </c>
      <c r="I21" s="28">
        <f t="shared" ca="1" si="1"/>
        <v>0.58333333333333337</v>
      </c>
      <c r="J21" s="31" t="str">
        <f t="shared" ca="1" si="2"/>
        <v>10位</v>
      </c>
      <c r="K21" s="36"/>
      <c r="L21" s="27"/>
    </row>
    <row r="22" spans="1:14" ht="20.100000000000001" customHeight="1" x14ac:dyDescent="0.4">
      <c r="A22" s="1">
        <v>17</v>
      </c>
      <c r="B22" s="15" t="str">
        <f ca="1">■!A10</f>
        <v>A09</v>
      </c>
      <c r="C22" s="138" t="str">
        <f>■!B10</f>
        <v>泉ＦＣ宇都宮</v>
      </c>
      <c r="D22" s="16">
        <f ca="1">■!C10</f>
        <v>4</v>
      </c>
      <c r="E22" s="17">
        <f ca="1">■!D10</f>
        <v>4</v>
      </c>
      <c r="F22" s="18">
        <f t="shared" ca="1" si="0"/>
        <v>0.33333333333333331</v>
      </c>
      <c r="G22" s="11">
        <f ca="1">■!F10</f>
        <v>1</v>
      </c>
      <c r="H22" s="14">
        <f ca="1">■!G10</f>
        <v>4</v>
      </c>
      <c r="I22" s="28">
        <f t="shared" ca="1" si="1"/>
        <v>0.33333333333333331</v>
      </c>
      <c r="J22" s="31" t="str">
        <f t="shared" ca="1" si="2"/>
        <v>19位</v>
      </c>
      <c r="K22" s="36"/>
      <c r="L22" s="27"/>
      <c r="M22" s="37"/>
      <c r="N22" s="37"/>
    </row>
    <row r="23" spans="1:14" ht="20.100000000000001" customHeight="1" x14ac:dyDescent="0.4">
      <c r="A23" s="1">
        <v>18</v>
      </c>
      <c r="B23" s="15" t="str">
        <f ca="1">■!A16</f>
        <v>B05</v>
      </c>
      <c r="C23" s="138" t="str">
        <f>■!B16</f>
        <v>ウエストフットコム</v>
      </c>
      <c r="D23" s="16">
        <f ca="1">■!C16</f>
        <v>5</v>
      </c>
      <c r="E23" s="17">
        <f ca="1">■!D16</f>
        <v>4</v>
      </c>
      <c r="F23" s="18">
        <f t="shared" ca="1" si="0"/>
        <v>0.41666666666666669</v>
      </c>
      <c r="G23" s="11">
        <f ca="1">■!F16</f>
        <v>1</v>
      </c>
      <c r="H23" s="14">
        <f ca="1">■!G16</f>
        <v>6</v>
      </c>
      <c r="I23" s="28">
        <f t="shared" ca="1" si="1"/>
        <v>0.41666666666666669</v>
      </c>
      <c r="J23" s="31" t="str">
        <f t="shared" ca="1" si="2"/>
        <v>17位</v>
      </c>
      <c r="K23" s="36"/>
      <c r="L23" s="27"/>
      <c r="M23" s="37"/>
      <c r="N23" s="37"/>
    </row>
    <row r="24" spans="1:14" ht="20.100000000000001" customHeight="1" x14ac:dyDescent="0.4">
      <c r="A24" s="1">
        <v>19</v>
      </c>
      <c r="B24" s="15" t="str">
        <f ca="1">■!A26</f>
        <v>C05</v>
      </c>
      <c r="C24" s="138" t="str">
        <f>■!B26</f>
        <v>ともぞうＳＣ U12</v>
      </c>
      <c r="D24" s="16">
        <f ca="1">■!C26</f>
        <v>9</v>
      </c>
      <c r="E24" s="17">
        <f ca="1">■!D26</f>
        <v>4</v>
      </c>
      <c r="F24" s="18">
        <f t="shared" ca="1" si="0"/>
        <v>0.75</v>
      </c>
      <c r="G24" s="11">
        <f ca="1">■!F26</f>
        <v>2</v>
      </c>
      <c r="H24" s="14">
        <f ca="1">■!G26</f>
        <v>7</v>
      </c>
      <c r="I24" s="28">
        <f t="shared" ca="1" si="1"/>
        <v>0.75</v>
      </c>
      <c r="J24" s="31" t="str">
        <f t="shared" ca="1" si="2"/>
        <v>8位</v>
      </c>
      <c r="K24" s="36"/>
      <c r="L24" s="27"/>
    </row>
    <row r="25" spans="1:14" ht="20.100000000000001" customHeight="1" x14ac:dyDescent="0.4">
      <c r="A25" s="1">
        <v>20</v>
      </c>
      <c r="B25" s="15" t="str">
        <f ca="1">■!A29</f>
        <v>C08</v>
      </c>
      <c r="C25" s="138" t="str">
        <f>■!B29</f>
        <v>ＦＣ Ｒｉｓｏ</v>
      </c>
      <c r="D25" s="16">
        <f ca="1">■!C29</f>
        <v>3</v>
      </c>
      <c r="E25" s="17">
        <f ca="1">■!D29</f>
        <v>4</v>
      </c>
      <c r="F25" s="18">
        <f t="shared" ca="1" si="0"/>
        <v>0.25</v>
      </c>
      <c r="G25" s="11">
        <f ca="1">■!F29</f>
        <v>1</v>
      </c>
      <c r="H25" s="14">
        <f ca="1">■!G29</f>
        <v>5</v>
      </c>
      <c r="I25" s="28">
        <f t="shared" ca="1" si="1"/>
        <v>0.25</v>
      </c>
      <c r="J25" s="31" t="str">
        <f t="shared" ca="1" si="2"/>
        <v>27位</v>
      </c>
      <c r="K25" s="36"/>
      <c r="L25" s="27"/>
    </row>
    <row r="26" spans="1:14" ht="20.100000000000001" customHeight="1" x14ac:dyDescent="0.4">
      <c r="A26" s="1">
        <v>21</v>
      </c>
      <c r="B26" s="15" t="str">
        <f ca="1">■!A19</f>
        <v>B08</v>
      </c>
      <c r="C26" s="138" t="str">
        <f>■!B19</f>
        <v>FCブロケード・陽東U11</v>
      </c>
      <c r="D26" s="16">
        <f ca="1">■!C19</f>
        <v>3</v>
      </c>
      <c r="E26" s="17">
        <f ca="1">■!D19</f>
        <v>4</v>
      </c>
      <c r="F26" s="18">
        <f t="shared" ca="1" si="0"/>
        <v>0.25</v>
      </c>
      <c r="G26" s="11">
        <f ca="1">■!F19</f>
        <v>-16</v>
      </c>
      <c r="H26" s="14">
        <f ca="1">■!G19</f>
        <v>6</v>
      </c>
      <c r="I26" s="28">
        <f t="shared" ca="1" si="1"/>
        <v>0.25</v>
      </c>
      <c r="J26" s="31" t="str">
        <f t="shared" ca="1" si="2"/>
        <v>27位</v>
      </c>
      <c r="K26" s="36"/>
      <c r="L26" s="27"/>
    </row>
    <row r="27" spans="1:14" ht="20.100000000000001" customHeight="1" x14ac:dyDescent="0.4">
      <c r="A27" s="1">
        <v>22</v>
      </c>
      <c r="B27" s="15" t="str">
        <f ca="1">■!A39</f>
        <v>D09</v>
      </c>
      <c r="C27" s="138" t="str">
        <f>■!B39</f>
        <v>ジュベニール</v>
      </c>
      <c r="D27" s="16">
        <f ca="1">■!C39</f>
        <v>0</v>
      </c>
      <c r="E27" s="17">
        <f ca="1">■!D39</f>
        <v>4</v>
      </c>
      <c r="F27" s="18">
        <f t="shared" ca="1" si="0"/>
        <v>0</v>
      </c>
      <c r="G27" s="11">
        <f ca="1">■!F39</f>
        <v>-11</v>
      </c>
      <c r="H27" s="14">
        <f ca="1">■!G39</f>
        <v>1</v>
      </c>
      <c r="I27" s="28">
        <f t="shared" ca="1" si="1"/>
        <v>0</v>
      </c>
      <c r="J27" s="31" t="str">
        <f t="shared" ca="1" si="2"/>
        <v>35位</v>
      </c>
      <c r="K27" s="36"/>
      <c r="L27" s="27"/>
    </row>
    <row r="28" spans="1:14" ht="20.100000000000001" customHeight="1" x14ac:dyDescent="0.4">
      <c r="A28" s="1">
        <v>23</v>
      </c>
      <c r="B28" s="15" t="str">
        <f ca="1">■!A25</f>
        <v>C04</v>
      </c>
      <c r="C28" s="138" t="str">
        <f>■!B25</f>
        <v>緑が丘ＹＦＣ</v>
      </c>
      <c r="D28" s="16">
        <f ca="1">■!C25</f>
        <v>0</v>
      </c>
      <c r="E28" s="17">
        <f ca="1">■!D25</f>
        <v>4</v>
      </c>
      <c r="F28" s="18">
        <f t="shared" ca="1" si="0"/>
        <v>0</v>
      </c>
      <c r="G28" s="11">
        <f ca="1">■!F25</f>
        <v>-6</v>
      </c>
      <c r="H28" s="14">
        <f ca="1">■!G25</f>
        <v>6</v>
      </c>
      <c r="I28" s="28">
        <f t="shared" ca="1" si="1"/>
        <v>0</v>
      </c>
      <c r="J28" s="31" t="str">
        <f t="shared" ca="1" si="2"/>
        <v>35位</v>
      </c>
      <c r="K28" s="36"/>
      <c r="L28" s="27"/>
    </row>
    <row r="29" spans="1:14" ht="20.100000000000001" customHeight="1" x14ac:dyDescent="0.4">
      <c r="A29" s="1">
        <v>24</v>
      </c>
      <c r="B29" s="15" t="str">
        <f ca="1">■!A32</f>
        <v>D02</v>
      </c>
      <c r="C29" s="138" t="str">
        <f>■!B32</f>
        <v>みはらＳＣjr</v>
      </c>
      <c r="D29" s="16">
        <f ca="1">■!C32</f>
        <v>0</v>
      </c>
      <c r="E29" s="17">
        <f ca="1">■!D32</f>
        <v>4</v>
      </c>
      <c r="F29" s="18">
        <f t="shared" ca="1" si="0"/>
        <v>0</v>
      </c>
      <c r="G29" s="11">
        <f ca="1">■!F32</f>
        <v>-16</v>
      </c>
      <c r="H29" s="14">
        <f ca="1">■!G32</f>
        <v>0</v>
      </c>
      <c r="I29" s="28">
        <f t="shared" ca="1" si="1"/>
        <v>0</v>
      </c>
      <c r="J29" s="31" t="str">
        <f t="shared" ca="1" si="2"/>
        <v>35位</v>
      </c>
      <c r="K29" s="36"/>
      <c r="L29" s="27"/>
    </row>
    <row r="30" spans="1:14" ht="20.100000000000001" customHeight="1" x14ac:dyDescent="0.4">
      <c r="A30" s="1">
        <v>25</v>
      </c>
      <c r="B30" s="15" t="str">
        <f ca="1">■!A8</f>
        <v>A07</v>
      </c>
      <c r="C30" s="138" t="str">
        <f>■!B8</f>
        <v>サウス宇都宮ＳＣ</v>
      </c>
      <c r="D30" s="16">
        <f ca="1">■!C8</f>
        <v>3</v>
      </c>
      <c r="E30" s="17">
        <f ca="1">■!D8</f>
        <v>4</v>
      </c>
      <c r="F30" s="18">
        <f t="shared" ca="1" si="0"/>
        <v>0.25</v>
      </c>
      <c r="G30" s="11">
        <f ca="1">■!F8</f>
        <v>-11</v>
      </c>
      <c r="H30" s="14">
        <f ca="1">■!G8</f>
        <v>1</v>
      </c>
      <c r="I30" s="28">
        <f t="shared" ca="1" si="1"/>
        <v>0.25</v>
      </c>
      <c r="J30" s="31" t="str">
        <f t="shared" ca="1" si="2"/>
        <v>27位</v>
      </c>
      <c r="K30" s="36"/>
      <c r="L30" s="27"/>
    </row>
    <row r="31" spans="1:14" ht="20.100000000000001" customHeight="1" x14ac:dyDescent="0.4">
      <c r="A31" s="1">
        <v>26</v>
      </c>
      <c r="B31" s="15" t="str">
        <f ca="1">■!A15</f>
        <v>B04</v>
      </c>
      <c r="C31" s="138" t="str">
        <f>■!B15</f>
        <v>シャルムグランツＳＣ</v>
      </c>
      <c r="D31" s="16">
        <f ca="1">■!C15</f>
        <v>4</v>
      </c>
      <c r="E31" s="17">
        <f ca="1">■!D15</f>
        <v>4</v>
      </c>
      <c r="F31" s="18">
        <f t="shared" ca="1" si="0"/>
        <v>0.33333333333333331</v>
      </c>
      <c r="G31" s="11">
        <f ca="1">■!F15</f>
        <v>-8</v>
      </c>
      <c r="H31" s="14">
        <f ca="1">■!G15</f>
        <v>2</v>
      </c>
      <c r="I31" s="28">
        <f t="shared" ca="1" si="1"/>
        <v>0.33333333333333331</v>
      </c>
      <c r="J31" s="31" t="str">
        <f t="shared" ca="1" si="2"/>
        <v>19位</v>
      </c>
      <c r="K31" s="36"/>
      <c r="L31" s="27"/>
    </row>
    <row r="32" spans="1:14" ht="20.100000000000001" customHeight="1" x14ac:dyDescent="0.4">
      <c r="A32" s="1">
        <v>27</v>
      </c>
      <c r="B32" s="15" t="str">
        <f ca="1">■!A24</f>
        <v>C03</v>
      </c>
      <c r="C32" s="138" t="str">
        <f>■!B24</f>
        <v>ＦＣブロケード</v>
      </c>
      <c r="D32" s="16">
        <f ca="1">■!C24</f>
        <v>2</v>
      </c>
      <c r="E32" s="17">
        <f ca="1">■!D24</f>
        <v>4</v>
      </c>
      <c r="F32" s="18">
        <f t="shared" ca="1" si="0"/>
        <v>0.16666666666666666</v>
      </c>
      <c r="G32" s="11">
        <f ca="1">■!F24</f>
        <v>-3</v>
      </c>
      <c r="H32" s="14">
        <f ca="1">■!G24</f>
        <v>1</v>
      </c>
      <c r="I32" s="28">
        <f t="shared" ca="1" si="1"/>
        <v>0.16666666666666666</v>
      </c>
      <c r="J32" s="31" t="str">
        <f t="shared" ca="1" si="2"/>
        <v>31位</v>
      </c>
      <c r="L32" s="27"/>
    </row>
    <row r="33" spans="1:12" ht="20.100000000000001" customHeight="1" x14ac:dyDescent="0.4">
      <c r="A33" s="1">
        <v>28</v>
      </c>
      <c r="B33" s="15" t="str">
        <f ca="1">■!A28</f>
        <v>C07</v>
      </c>
      <c r="C33" s="138" t="str">
        <f>■!B28</f>
        <v>細谷サッカークラブ</v>
      </c>
      <c r="D33" s="16">
        <f ca="1">■!C28</f>
        <v>12</v>
      </c>
      <c r="E33" s="17">
        <f ca="1">■!D28</f>
        <v>4</v>
      </c>
      <c r="F33" s="18">
        <f t="shared" ca="1" si="0"/>
        <v>1</v>
      </c>
      <c r="G33" s="11">
        <f ca="1">■!F28</f>
        <v>14</v>
      </c>
      <c r="H33" s="14">
        <f ca="1">■!G28</f>
        <v>16</v>
      </c>
      <c r="I33" s="28">
        <f t="shared" ca="1" si="1"/>
        <v>1</v>
      </c>
      <c r="J33" s="31" t="str">
        <f t="shared" ca="1" si="2"/>
        <v>1位</v>
      </c>
      <c r="L33" s="27"/>
    </row>
    <row r="34" spans="1:12" ht="20.100000000000001" customHeight="1" x14ac:dyDescent="0.4">
      <c r="A34" s="1">
        <v>29</v>
      </c>
      <c r="B34" s="15" t="str">
        <f ca="1">■!A37</f>
        <v>D07</v>
      </c>
      <c r="C34" s="138" t="str">
        <f>■!B37</f>
        <v>ＦＣみらいＶ</v>
      </c>
      <c r="D34" s="16">
        <f ca="1">■!C37</f>
        <v>10</v>
      </c>
      <c r="E34" s="17">
        <f ca="1">■!D37</f>
        <v>4</v>
      </c>
      <c r="F34" s="18">
        <f t="shared" ca="1" si="0"/>
        <v>0.83333333333333337</v>
      </c>
      <c r="G34" s="11">
        <f ca="1">■!F37</f>
        <v>3</v>
      </c>
      <c r="H34" s="14">
        <f ca="1">■!G37</f>
        <v>3</v>
      </c>
      <c r="I34" s="28">
        <f t="shared" ca="1" si="1"/>
        <v>0.83333333333333337</v>
      </c>
      <c r="J34" s="31" t="str">
        <f t="shared" ca="1" si="2"/>
        <v>7位</v>
      </c>
      <c r="L34" s="27"/>
    </row>
    <row r="35" spans="1:12" ht="20.100000000000001" customHeight="1" x14ac:dyDescent="0.4">
      <c r="A35" s="1">
        <v>30</v>
      </c>
      <c r="B35" s="15" t="str">
        <f ca="1">■!A3</f>
        <v>A02</v>
      </c>
      <c r="C35" s="138" t="str">
        <f>■!B3</f>
        <v>国本ＪＳＣ</v>
      </c>
      <c r="D35" s="16">
        <f ca="1">■!C3</f>
        <v>7</v>
      </c>
      <c r="E35" s="17">
        <f ca="1">■!D3</f>
        <v>4</v>
      </c>
      <c r="F35" s="18">
        <f t="shared" ca="1" si="0"/>
        <v>0.58333333333333337</v>
      </c>
      <c r="G35" s="11">
        <f ca="1">■!F3</f>
        <v>1</v>
      </c>
      <c r="H35" s="14">
        <f ca="1">■!G3</f>
        <v>6</v>
      </c>
      <c r="I35" s="28">
        <f t="shared" ca="1" si="1"/>
        <v>0.58333333333333337</v>
      </c>
      <c r="J35" s="31" t="str">
        <f t="shared" ca="1" si="2"/>
        <v>10位</v>
      </c>
      <c r="L35" s="27"/>
    </row>
    <row r="36" spans="1:12" ht="20.100000000000001" customHeight="1" x14ac:dyDescent="0.4">
      <c r="A36" s="1">
        <v>31</v>
      </c>
      <c r="B36" s="15" t="str">
        <f ca="1">■!A5</f>
        <v>A04</v>
      </c>
      <c r="C36" s="138" t="str">
        <f>■!B5</f>
        <v>ＦＣアリーバ</v>
      </c>
      <c r="D36" s="16">
        <f ca="1">■!C5</f>
        <v>7</v>
      </c>
      <c r="E36" s="17">
        <f ca="1">■!D5</f>
        <v>4</v>
      </c>
      <c r="F36" s="18">
        <f t="shared" ca="1" si="0"/>
        <v>0.58333333333333337</v>
      </c>
      <c r="G36" s="11">
        <f ca="1">■!F5</f>
        <v>1</v>
      </c>
      <c r="H36" s="14">
        <f ca="1">■!G5</f>
        <v>4</v>
      </c>
      <c r="I36" s="28">
        <f t="shared" ca="1" si="1"/>
        <v>0.58333333333333337</v>
      </c>
      <c r="J36" s="31" t="str">
        <f t="shared" ca="1" si="2"/>
        <v>10位</v>
      </c>
      <c r="L36" s="27"/>
    </row>
    <row r="37" spans="1:12" ht="20.100000000000001" customHeight="1" x14ac:dyDescent="0.4">
      <c r="A37" s="1">
        <v>32</v>
      </c>
      <c r="B37" s="15" t="str">
        <f ca="1">■!A14</f>
        <v>B03</v>
      </c>
      <c r="C37" s="138" t="str">
        <f>■!B14</f>
        <v>昭和・戸祭ＳＣ-O</v>
      </c>
      <c r="D37" s="16">
        <f ca="1">■!C14</f>
        <v>12</v>
      </c>
      <c r="E37" s="17">
        <f ca="1">■!D14</f>
        <v>4</v>
      </c>
      <c r="F37" s="18">
        <f t="shared" ca="1" si="0"/>
        <v>1</v>
      </c>
      <c r="G37" s="11">
        <f ca="1">■!F14</f>
        <v>21</v>
      </c>
      <c r="H37" s="14">
        <f ca="1">■!G14</f>
        <v>23</v>
      </c>
      <c r="I37" s="28">
        <f t="shared" ca="1" si="1"/>
        <v>1</v>
      </c>
      <c r="J37" s="31" t="str">
        <f t="shared" ca="1" si="2"/>
        <v>1位</v>
      </c>
      <c r="L37" s="27"/>
    </row>
    <row r="38" spans="1:12" ht="20.100000000000001" customHeight="1" x14ac:dyDescent="0.4">
      <c r="A38" s="1">
        <v>33</v>
      </c>
      <c r="B38" s="15" t="str">
        <f ca="1">■!A21</f>
        <v>B10</v>
      </c>
      <c r="C38" s="138">
        <f>■!B21</f>
        <v>0</v>
      </c>
      <c r="D38" s="16">
        <f ca="1">■!C21</f>
        <v>0</v>
      </c>
      <c r="E38" s="17">
        <f ca="1">■!D21</f>
        <v>0</v>
      </c>
      <c r="F38" s="18">
        <f t="shared" ca="1" si="0"/>
        <v>0</v>
      </c>
      <c r="G38" s="11">
        <f ca="1">■!F21</f>
        <v>0</v>
      </c>
      <c r="H38" s="14">
        <f ca="1">■!G21</f>
        <v>0</v>
      </c>
      <c r="I38" s="28">
        <f t="shared" ca="1" si="1"/>
        <v>0</v>
      </c>
      <c r="J38" s="31" t="str">
        <f t="shared" ca="1" si="2"/>
        <v>35位</v>
      </c>
      <c r="L38" s="27"/>
    </row>
    <row r="39" spans="1:12" ht="20.100000000000001" customHeight="1" x14ac:dyDescent="0.4">
      <c r="A39" s="1">
        <v>34</v>
      </c>
      <c r="B39" s="15" t="str">
        <f ca="1">■!A23</f>
        <v>C02</v>
      </c>
      <c r="C39" s="138" t="str">
        <f>■!B23</f>
        <v>ＦＣグランディール</v>
      </c>
      <c r="D39" s="16">
        <f ca="1">■!C23</f>
        <v>4</v>
      </c>
      <c r="E39" s="17">
        <f ca="1">■!D23</f>
        <v>4</v>
      </c>
      <c r="F39" s="18">
        <f t="shared" ca="1" si="0"/>
        <v>0.33333333333333331</v>
      </c>
      <c r="G39" s="11">
        <f ca="1">■!F23</f>
        <v>-2</v>
      </c>
      <c r="H39" s="14">
        <f ca="1">■!G23</f>
        <v>2</v>
      </c>
      <c r="I39" s="28">
        <f t="shared" ca="1" si="1"/>
        <v>0.33333333333333331</v>
      </c>
      <c r="J39" s="31" t="str">
        <f t="shared" ca="1" si="2"/>
        <v>19位</v>
      </c>
      <c r="L39" s="27"/>
    </row>
    <row r="40" spans="1:12" ht="20.100000000000001" customHeight="1" x14ac:dyDescent="0.4">
      <c r="A40" s="1">
        <v>35</v>
      </c>
      <c r="B40" s="15" t="str">
        <f ca="1">■!A31</f>
        <v>D01</v>
      </c>
      <c r="C40" s="138" t="str">
        <f>■!B31</f>
        <v>本郷北ＦＣ</v>
      </c>
      <c r="D40" s="16">
        <f ca="1">■!C31</f>
        <v>6</v>
      </c>
      <c r="E40" s="17">
        <f ca="1">■!D31</f>
        <v>4</v>
      </c>
      <c r="F40" s="18">
        <f t="shared" ca="1" si="0"/>
        <v>0.5</v>
      </c>
      <c r="G40" s="11">
        <f ca="1">■!F31</f>
        <v>-3</v>
      </c>
      <c r="H40" s="14">
        <f ca="1">■!G31</f>
        <v>4</v>
      </c>
      <c r="I40" s="28">
        <f t="shared" ca="1" si="1"/>
        <v>0.5</v>
      </c>
      <c r="J40" s="31" t="str">
        <f t="shared" ca="1" si="2"/>
        <v>15位</v>
      </c>
      <c r="L40" s="27"/>
    </row>
    <row r="41" spans="1:12" ht="20.100000000000001" customHeight="1" x14ac:dyDescent="0.4">
      <c r="A41" s="1">
        <v>36</v>
      </c>
      <c r="B41" s="15" t="str">
        <f ca="1">■!A33</f>
        <v>D03</v>
      </c>
      <c r="C41" s="138" t="str">
        <f>■!B33</f>
        <v>Ｓ４スペランツァ</v>
      </c>
      <c r="D41" s="16">
        <f ca="1">■!C33</f>
        <v>12</v>
      </c>
      <c r="E41" s="17">
        <f ca="1">■!D33</f>
        <v>4</v>
      </c>
      <c r="F41" s="18">
        <f t="shared" ca="1" si="0"/>
        <v>1</v>
      </c>
      <c r="G41" s="11">
        <f ca="1">■!F33</f>
        <v>21</v>
      </c>
      <c r="H41" s="14">
        <f ca="1">■!G33</f>
        <v>23</v>
      </c>
      <c r="I41" s="28">
        <f t="shared" ca="1" si="1"/>
        <v>1</v>
      </c>
      <c r="J41" s="31" t="str">
        <f t="shared" ca="1" si="2"/>
        <v>1位</v>
      </c>
      <c r="L41" s="27"/>
    </row>
    <row r="42" spans="1:12" ht="20.100000000000001" customHeight="1" x14ac:dyDescent="0.4">
      <c r="A42" s="1">
        <v>37</v>
      </c>
      <c r="B42" s="15" t="str">
        <f ca="1">■!A13</f>
        <v>B02</v>
      </c>
      <c r="C42" s="138" t="str">
        <f>■!B13</f>
        <v>ＦＣグラシアス</v>
      </c>
      <c r="D42" s="16">
        <f ca="1">■!C13</f>
        <v>4</v>
      </c>
      <c r="E42" s="17">
        <f ca="1">■!D13</f>
        <v>4</v>
      </c>
      <c r="F42" s="18">
        <f t="shared" ca="1" si="0"/>
        <v>0.33333333333333331</v>
      </c>
      <c r="G42" s="11">
        <f ca="1">■!F13</f>
        <v>-7</v>
      </c>
      <c r="H42" s="14">
        <f ca="1">■!G13</f>
        <v>4</v>
      </c>
      <c r="I42" s="28">
        <f t="shared" ca="1" si="1"/>
        <v>0.33333333333333331</v>
      </c>
      <c r="J42" s="31" t="str">
        <f t="shared" ca="1" si="2"/>
        <v>19位</v>
      </c>
      <c r="L42" s="27"/>
    </row>
    <row r="43" spans="1:12" ht="20.100000000000001" customHeight="1" x14ac:dyDescent="0.4">
      <c r="A43" s="1">
        <v>38</v>
      </c>
      <c r="B43" s="15" t="str">
        <f ca="1">■!A4</f>
        <v>A03</v>
      </c>
      <c r="C43" s="138" t="str">
        <f>■!B4</f>
        <v>カテット白沢U11</v>
      </c>
      <c r="D43" s="16">
        <f ca="1">■!C4</f>
        <v>2</v>
      </c>
      <c r="E43" s="17">
        <f ca="1">■!D4</f>
        <v>4</v>
      </c>
      <c r="F43" s="18">
        <f t="shared" ca="1" si="0"/>
        <v>0.16666666666666666</v>
      </c>
      <c r="G43" s="11">
        <f ca="1">■!F4</f>
        <v>-4</v>
      </c>
      <c r="H43" s="14">
        <f ca="1">■!G4</f>
        <v>4</v>
      </c>
      <c r="I43" s="28">
        <f t="shared" ca="1" si="1"/>
        <v>0.16666666666666666</v>
      </c>
      <c r="J43" s="31" t="str">
        <f t="shared" ca="1" si="2"/>
        <v>31位</v>
      </c>
      <c r="L43" s="27"/>
    </row>
  </sheetData>
  <sheetProtection sort="0"/>
  <sortState ref="B6:J43">
    <sortCondition descending="1" ref="I6:I43"/>
    <sortCondition ref="B6:B43"/>
  </sortState>
  <mergeCells count="6">
    <mergeCell ref="B5:C5"/>
    <mergeCell ref="A1:L1"/>
    <mergeCell ref="A2:L2"/>
    <mergeCell ref="A3:L3"/>
    <mergeCell ref="O3:W3"/>
    <mergeCell ref="A4:L4"/>
  </mergeCells>
  <phoneticPr fontId="53"/>
  <conditionalFormatting sqref="L6">
    <cfRule type="cellIs" dxfId="6" priority="6" stopIfTrue="1" operator="equal">
      <formula>"出場候補"</formula>
    </cfRule>
  </conditionalFormatting>
  <conditionalFormatting sqref="L6:L43">
    <cfRule type="cellIs" dxfId="5" priority="5" stopIfTrue="1" operator="equal">
      <formula>"出場候補"</formula>
    </cfRule>
  </conditionalFormatting>
  <conditionalFormatting sqref="L7:L20">
    <cfRule type="cellIs" dxfId="4" priority="3" stopIfTrue="1" operator="equal">
      <formula>"プレーオフ"</formula>
    </cfRule>
    <cfRule type="cellIs" dxfId="3" priority="4" stopIfTrue="1" operator="equal">
      <formula>"プレーオフ"</formula>
    </cfRule>
  </conditionalFormatting>
  <conditionalFormatting sqref="L7:L19">
    <cfRule type="cellIs" dxfId="2" priority="2" stopIfTrue="1" operator="equal">
      <formula>"出場候補"</formula>
    </cfRule>
  </conditionalFormatting>
  <conditionalFormatting sqref="L20:L43">
    <cfRule type="cellIs" dxfId="1" priority="1" stopIfTrue="1" operator="equal">
      <formula>"出場候補"</formula>
    </cfRule>
  </conditionalFormatting>
  <conditionalFormatting sqref="L7:L43 L5">
    <cfRule type="cellIs" dxfId="0" priority="18" stopIfTrue="1" operator="equal">
      <formula>"出場候補"</formula>
    </cfRule>
  </conditionalFormatting>
  <printOptions horizontalCentered="1"/>
  <pageMargins left="0" right="0" top="0.39305555555555599" bottom="0.196527777777778" header="0" footer="0"/>
  <pageSetup paperSize="9" scale="9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Pict="0" macro="[0]!Macro2">
                <anchor moveWithCells="1">
                  <from>
                    <xdr:col>12</xdr:col>
                    <xdr:colOff>47625</xdr:colOff>
                    <xdr:row>3</xdr:row>
                    <xdr:rowOff>19050</xdr:rowOff>
                  </from>
                  <to>
                    <xdr:col>12</xdr:col>
                    <xdr:colOff>762000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</sheetPr>
  <dimension ref="A1:R116"/>
  <sheetViews>
    <sheetView view="pageBreakPreview" zoomScaleNormal="100" zoomScaleSheetLayoutView="100" workbookViewId="0">
      <selection sqref="A1:G1"/>
    </sheetView>
  </sheetViews>
  <sheetFormatPr defaultColWidth="9" defaultRowHeight="13.5" x14ac:dyDescent="0.4"/>
  <cols>
    <col min="1" max="1" width="8.625" style="1" customWidth="1"/>
    <col min="2" max="2" width="9" style="1"/>
    <col min="3" max="3" width="13.875" style="1" customWidth="1"/>
    <col min="4" max="4" width="9" style="1"/>
    <col min="5" max="5" width="13.875" style="1" bestFit="1" customWidth="1"/>
    <col min="6" max="6" width="9" style="1"/>
    <col min="7" max="7" width="13.875" style="1" bestFit="1" customWidth="1"/>
    <col min="8" max="8" width="9" style="1" customWidth="1"/>
    <col min="9" max="9" width="13.875" style="1" customWidth="1"/>
    <col min="10" max="10" width="8.625" style="1" customWidth="1"/>
    <col min="11" max="11" width="5.625" style="1" customWidth="1"/>
    <col min="12" max="12" width="11.5" style="1" customWidth="1"/>
    <col min="13" max="13" width="5.625" style="1" customWidth="1"/>
    <col min="14" max="14" width="11.5" style="1" customWidth="1"/>
    <col min="15" max="15" width="5.625" style="1" customWidth="1"/>
    <col min="16" max="16" width="11.5" style="1" customWidth="1"/>
    <col min="17" max="17" width="5.625" style="1" customWidth="1"/>
    <col min="18" max="18" width="11.5" style="1" customWidth="1"/>
    <col min="19" max="250" width="9" style="1"/>
    <col min="251" max="251" width="8.625" style="1" customWidth="1"/>
    <col min="252" max="252" width="9" style="1"/>
    <col min="253" max="253" width="13.875" style="1" customWidth="1"/>
    <col min="254" max="254" width="9" style="1"/>
    <col min="255" max="255" width="13.875" style="1" bestFit="1" customWidth="1"/>
    <col min="256" max="256" width="9" style="1"/>
    <col min="257" max="257" width="13.875" style="1" bestFit="1" customWidth="1"/>
    <col min="258" max="16384" width="9" style="1"/>
  </cols>
  <sheetData>
    <row r="1" spans="1:7" ht="18.75" x14ac:dyDescent="0.4">
      <c r="A1" s="431" t="s">
        <v>373</v>
      </c>
      <c r="B1" s="431"/>
      <c r="C1" s="431"/>
      <c r="D1" s="431"/>
      <c r="E1" s="431"/>
      <c r="F1" s="431"/>
      <c r="G1" s="431"/>
    </row>
    <row r="2" spans="1:7" ht="18.75" x14ac:dyDescent="0.4">
      <c r="A2" s="438" t="s">
        <v>374</v>
      </c>
      <c r="B2" s="438"/>
      <c r="C2" s="438"/>
      <c r="D2" s="438"/>
      <c r="E2" s="438"/>
      <c r="F2" s="438"/>
      <c r="G2" s="438"/>
    </row>
    <row r="3" spans="1:7" ht="18.75" x14ac:dyDescent="0.4">
      <c r="A3" s="154"/>
      <c r="B3" s="154"/>
      <c r="C3" s="154"/>
      <c r="D3" s="154"/>
      <c r="E3" s="154"/>
      <c r="F3" s="154"/>
      <c r="G3" s="154"/>
    </row>
    <row r="4" spans="1:7" ht="17.25" x14ac:dyDescent="0.4">
      <c r="A4" s="436" t="s">
        <v>375</v>
      </c>
      <c r="B4" s="437"/>
      <c r="C4" s="437"/>
      <c r="D4" s="437"/>
      <c r="E4" s="437"/>
      <c r="F4" s="437"/>
      <c r="G4" s="437"/>
    </row>
    <row r="5" spans="1:7" ht="13.5" customHeight="1" x14ac:dyDescent="0.4">
      <c r="A5" s="171" t="s">
        <v>178</v>
      </c>
      <c r="B5" s="417" t="s">
        <v>179</v>
      </c>
      <c r="C5" s="418"/>
      <c r="D5" s="417" t="s">
        <v>376</v>
      </c>
      <c r="E5" s="418"/>
      <c r="F5" s="417" t="s">
        <v>377</v>
      </c>
      <c r="G5" s="418"/>
    </row>
    <row r="6" spans="1:7" ht="13.5" customHeight="1" x14ac:dyDescent="0.4">
      <c r="A6" s="171" t="s">
        <v>180</v>
      </c>
      <c r="B6" s="417" t="s">
        <v>378</v>
      </c>
      <c r="C6" s="418"/>
      <c r="D6" s="417" t="s">
        <v>379</v>
      </c>
      <c r="E6" s="418"/>
      <c r="F6" s="417" t="s">
        <v>380</v>
      </c>
      <c r="G6" s="418"/>
    </row>
    <row r="7" spans="1:7" ht="13.5" customHeight="1" x14ac:dyDescent="0.4">
      <c r="A7" s="172" t="s">
        <v>182</v>
      </c>
      <c r="B7" s="435" t="s">
        <v>381</v>
      </c>
      <c r="C7" s="423"/>
      <c r="D7" s="417" t="s">
        <v>382</v>
      </c>
      <c r="E7" s="423"/>
      <c r="F7" s="417" t="s">
        <v>383</v>
      </c>
      <c r="G7" s="423"/>
    </row>
    <row r="8" spans="1:7" ht="13.5" customHeight="1" x14ac:dyDescent="0.4">
      <c r="A8" s="173" t="s">
        <v>384</v>
      </c>
      <c r="B8" s="149" t="s">
        <v>184</v>
      </c>
      <c r="C8" s="150" t="s">
        <v>185</v>
      </c>
      <c r="D8" s="149" t="s">
        <v>186</v>
      </c>
      <c r="E8" s="174" t="s">
        <v>385</v>
      </c>
      <c r="F8" s="149" t="s">
        <v>184</v>
      </c>
      <c r="G8" s="150" t="s">
        <v>200</v>
      </c>
    </row>
    <row r="9" spans="1:7" ht="13.5" customHeight="1" x14ac:dyDescent="0.4">
      <c r="A9" s="175" t="s">
        <v>386</v>
      </c>
      <c r="B9" s="115" t="s">
        <v>188</v>
      </c>
      <c r="C9" s="116" t="s">
        <v>189</v>
      </c>
      <c r="D9" s="115" t="s">
        <v>387</v>
      </c>
      <c r="E9" s="176" t="s">
        <v>388</v>
      </c>
      <c r="F9" s="115" t="s">
        <v>202</v>
      </c>
      <c r="G9" s="116" t="s">
        <v>189</v>
      </c>
    </row>
    <row r="10" spans="1:7" ht="13.5" customHeight="1" x14ac:dyDescent="0.4">
      <c r="A10" s="175" t="s">
        <v>389</v>
      </c>
      <c r="B10" s="115" t="s">
        <v>191</v>
      </c>
      <c r="C10" s="116" t="s">
        <v>192</v>
      </c>
      <c r="D10" s="115" t="s">
        <v>193</v>
      </c>
      <c r="E10" s="176" t="s">
        <v>390</v>
      </c>
      <c r="F10" s="115" t="s">
        <v>391</v>
      </c>
      <c r="G10" s="116" t="s">
        <v>392</v>
      </c>
    </row>
    <row r="11" spans="1:7" ht="13.5" customHeight="1" x14ac:dyDescent="0.4">
      <c r="A11" s="175" t="s">
        <v>393</v>
      </c>
      <c r="B11" s="115" t="s">
        <v>195</v>
      </c>
      <c r="C11" s="116" t="s">
        <v>196</v>
      </c>
      <c r="D11" s="115" t="s">
        <v>394</v>
      </c>
      <c r="E11" s="176" t="s">
        <v>197</v>
      </c>
      <c r="F11" s="115" t="s">
        <v>208</v>
      </c>
      <c r="G11" s="116" t="s">
        <v>395</v>
      </c>
    </row>
    <row r="12" spans="1:7" ht="13.5" customHeight="1" x14ac:dyDescent="0.4">
      <c r="A12" s="175" t="s">
        <v>396</v>
      </c>
      <c r="B12" s="115" t="s">
        <v>199</v>
      </c>
      <c r="C12" s="176" t="s">
        <v>200</v>
      </c>
      <c r="D12" s="115" t="s">
        <v>201</v>
      </c>
      <c r="E12" s="116" t="s">
        <v>397</v>
      </c>
      <c r="F12" s="115" t="s">
        <v>195</v>
      </c>
      <c r="G12" s="116" t="s">
        <v>185</v>
      </c>
    </row>
    <row r="13" spans="1:7" ht="13.5" customHeight="1" x14ac:dyDescent="0.4">
      <c r="A13" s="175" t="s">
        <v>398</v>
      </c>
      <c r="B13" s="115" t="s">
        <v>202</v>
      </c>
      <c r="C13" s="176" t="s">
        <v>203</v>
      </c>
      <c r="D13" s="115" t="s">
        <v>399</v>
      </c>
      <c r="E13" s="176" t="s">
        <v>204</v>
      </c>
      <c r="F13" s="115" t="s">
        <v>188</v>
      </c>
      <c r="G13" s="116" t="s">
        <v>192</v>
      </c>
    </row>
    <row r="14" spans="1:7" ht="13.5" customHeight="1" x14ac:dyDescent="0.4">
      <c r="A14" s="177" t="s">
        <v>400</v>
      </c>
      <c r="B14" s="119" t="s">
        <v>205</v>
      </c>
      <c r="C14" s="120" t="s">
        <v>206</v>
      </c>
      <c r="D14" s="424"/>
      <c r="E14" s="425"/>
      <c r="F14" s="424"/>
      <c r="G14" s="425"/>
    </row>
    <row r="15" spans="1:7" x14ac:dyDescent="0.4">
      <c r="A15" s="178"/>
      <c r="B15" s="178"/>
      <c r="C15" s="178"/>
      <c r="D15" s="178"/>
      <c r="E15" s="178"/>
      <c r="F15" s="178"/>
      <c r="G15" s="178"/>
    </row>
    <row r="16" spans="1:7" ht="13.5" customHeight="1" x14ac:dyDescent="0.4">
      <c r="A16" s="171" t="s">
        <v>178</v>
      </c>
      <c r="B16" s="417" t="s">
        <v>401</v>
      </c>
      <c r="C16" s="418"/>
      <c r="D16" s="417" t="s">
        <v>402</v>
      </c>
      <c r="E16" s="418"/>
      <c r="F16" s="417" t="s">
        <v>403</v>
      </c>
      <c r="G16" s="418"/>
    </row>
    <row r="17" spans="1:7" ht="13.5" customHeight="1" x14ac:dyDescent="0.4">
      <c r="A17" s="171" t="s">
        <v>180</v>
      </c>
      <c r="B17" s="417" t="s">
        <v>404</v>
      </c>
      <c r="C17" s="418"/>
      <c r="D17" s="417" t="s">
        <v>405</v>
      </c>
      <c r="E17" s="418"/>
      <c r="F17" s="417" t="s">
        <v>406</v>
      </c>
      <c r="G17" s="418"/>
    </row>
    <row r="18" spans="1:7" ht="13.5" customHeight="1" x14ac:dyDescent="0.4">
      <c r="A18" s="172" t="s">
        <v>182</v>
      </c>
      <c r="B18" s="417" t="s">
        <v>407</v>
      </c>
      <c r="C18" s="423"/>
      <c r="D18" s="417" t="s">
        <v>408</v>
      </c>
      <c r="E18" s="423"/>
      <c r="F18" s="417" t="s">
        <v>409</v>
      </c>
      <c r="G18" s="423"/>
    </row>
    <row r="19" spans="1:7" ht="13.5" customHeight="1" x14ac:dyDescent="0.4">
      <c r="A19" s="173" t="s">
        <v>384</v>
      </c>
      <c r="B19" s="149" t="s">
        <v>184</v>
      </c>
      <c r="C19" s="174" t="s">
        <v>200</v>
      </c>
      <c r="D19" s="149" t="s">
        <v>410</v>
      </c>
      <c r="E19" s="150" t="s">
        <v>411</v>
      </c>
      <c r="F19" s="149" t="s">
        <v>184</v>
      </c>
      <c r="G19" s="150" t="s">
        <v>200</v>
      </c>
    </row>
    <row r="20" spans="1:7" ht="13.5" customHeight="1" x14ac:dyDescent="0.4">
      <c r="A20" s="175" t="s">
        <v>386</v>
      </c>
      <c r="B20" s="115" t="s">
        <v>202</v>
      </c>
      <c r="C20" s="176" t="s">
        <v>189</v>
      </c>
      <c r="D20" s="115" t="s">
        <v>412</v>
      </c>
      <c r="E20" s="116" t="s">
        <v>413</v>
      </c>
      <c r="F20" s="115" t="s">
        <v>202</v>
      </c>
      <c r="G20" s="116" t="s">
        <v>189</v>
      </c>
    </row>
    <row r="21" spans="1:7" ht="13.5" customHeight="1" x14ac:dyDescent="0.4">
      <c r="A21" s="175" t="s">
        <v>389</v>
      </c>
      <c r="B21" s="115" t="s">
        <v>391</v>
      </c>
      <c r="C21" s="176" t="s">
        <v>392</v>
      </c>
      <c r="D21" s="115" t="s">
        <v>414</v>
      </c>
      <c r="E21" s="116" t="s">
        <v>415</v>
      </c>
      <c r="F21" s="115" t="s">
        <v>391</v>
      </c>
      <c r="G21" s="116" t="s">
        <v>392</v>
      </c>
    </row>
    <row r="22" spans="1:7" ht="13.5" customHeight="1" x14ac:dyDescent="0.4">
      <c r="A22" s="175" t="s">
        <v>393</v>
      </c>
      <c r="B22" s="115" t="s">
        <v>208</v>
      </c>
      <c r="C22" s="176" t="s">
        <v>395</v>
      </c>
      <c r="D22" s="115" t="s">
        <v>416</v>
      </c>
      <c r="E22" s="116" t="s">
        <v>417</v>
      </c>
      <c r="F22" s="115" t="s">
        <v>208</v>
      </c>
      <c r="G22" s="116" t="s">
        <v>395</v>
      </c>
    </row>
    <row r="23" spans="1:7" ht="13.5" customHeight="1" x14ac:dyDescent="0.4">
      <c r="A23" s="175" t="s">
        <v>396</v>
      </c>
      <c r="B23" s="115" t="s">
        <v>195</v>
      </c>
      <c r="C23" s="176" t="s">
        <v>185</v>
      </c>
      <c r="D23" s="115" t="s">
        <v>418</v>
      </c>
      <c r="E23" s="116" t="s">
        <v>419</v>
      </c>
      <c r="F23" s="115" t="s">
        <v>195</v>
      </c>
      <c r="G23" s="116" t="s">
        <v>185</v>
      </c>
    </row>
    <row r="24" spans="1:7" ht="13.5" customHeight="1" x14ac:dyDescent="0.4">
      <c r="A24" s="177" t="s">
        <v>398</v>
      </c>
      <c r="B24" s="119" t="s">
        <v>188</v>
      </c>
      <c r="C24" s="120" t="s">
        <v>192</v>
      </c>
      <c r="D24" s="119" t="s">
        <v>420</v>
      </c>
      <c r="E24" s="121" t="s">
        <v>421</v>
      </c>
      <c r="F24" s="119" t="s">
        <v>188</v>
      </c>
      <c r="G24" s="121" t="s">
        <v>192</v>
      </c>
    </row>
    <row r="25" spans="1:7" x14ac:dyDescent="0.4">
      <c r="A25" s="179"/>
      <c r="B25" s="179"/>
      <c r="C25" s="179"/>
      <c r="D25" s="179"/>
      <c r="E25" s="179"/>
      <c r="F25" s="179"/>
      <c r="G25" s="179"/>
    </row>
    <row r="26" spans="1:7" ht="17.25" x14ac:dyDescent="0.4">
      <c r="A26" s="429" t="s">
        <v>422</v>
      </c>
      <c r="B26" s="416"/>
      <c r="C26" s="416"/>
      <c r="D26" s="416"/>
      <c r="E26" s="416"/>
      <c r="F26" s="416"/>
      <c r="G26" s="416"/>
    </row>
    <row r="27" spans="1:7" ht="13.5" customHeight="1" x14ac:dyDescent="0.4">
      <c r="A27" s="171" t="s">
        <v>178</v>
      </c>
      <c r="B27" s="417" t="s">
        <v>179</v>
      </c>
      <c r="C27" s="418"/>
      <c r="D27" s="417" t="s">
        <v>423</v>
      </c>
      <c r="E27" s="418"/>
      <c r="F27" s="417" t="s">
        <v>424</v>
      </c>
      <c r="G27" s="418"/>
    </row>
    <row r="28" spans="1:7" ht="13.5" customHeight="1" x14ac:dyDescent="0.4">
      <c r="A28" s="171" t="s">
        <v>180</v>
      </c>
      <c r="B28" s="417" t="s">
        <v>378</v>
      </c>
      <c r="C28" s="418"/>
      <c r="D28" s="417" t="s">
        <v>379</v>
      </c>
      <c r="E28" s="418"/>
      <c r="F28" s="432" t="s">
        <v>425</v>
      </c>
      <c r="G28" s="434"/>
    </row>
    <row r="29" spans="1:7" ht="13.5" customHeight="1" x14ac:dyDescent="0.4">
      <c r="A29" s="180" t="s">
        <v>182</v>
      </c>
      <c r="B29" s="417" t="s">
        <v>426</v>
      </c>
      <c r="C29" s="418"/>
      <c r="D29" s="417" t="s">
        <v>427</v>
      </c>
      <c r="E29" s="428"/>
      <c r="F29" s="432" t="s">
        <v>138</v>
      </c>
      <c r="G29" s="433"/>
    </row>
    <row r="30" spans="1:7" ht="13.5" customHeight="1" x14ac:dyDescent="0.4">
      <c r="A30" s="173" t="s">
        <v>384</v>
      </c>
      <c r="B30" s="115" t="s">
        <v>209</v>
      </c>
      <c r="C30" s="176" t="s">
        <v>210</v>
      </c>
      <c r="D30" s="149" t="s">
        <v>211</v>
      </c>
      <c r="E30" s="181" t="s">
        <v>428</v>
      </c>
      <c r="F30" s="182" t="s">
        <v>232</v>
      </c>
      <c r="G30" s="150" t="s">
        <v>233</v>
      </c>
    </row>
    <row r="31" spans="1:7" ht="13.5" customHeight="1" x14ac:dyDescent="0.4">
      <c r="A31" s="175" t="s">
        <v>386</v>
      </c>
      <c r="B31" s="115" t="s">
        <v>213</v>
      </c>
      <c r="C31" s="176" t="s">
        <v>214</v>
      </c>
      <c r="D31" s="183" t="s">
        <v>429</v>
      </c>
      <c r="E31" s="116" t="s">
        <v>215</v>
      </c>
      <c r="F31" s="115" t="s">
        <v>234</v>
      </c>
      <c r="G31" s="181" t="s">
        <v>252</v>
      </c>
    </row>
    <row r="32" spans="1:7" ht="13.5" customHeight="1" x14ac:dyDescent="0.4">
      <c r="A32" s="175" t="s">
        <v>389</v>
      </c>
      <c r="B32" s="115" t="s">
        <v>216</v>
      </c>
      <c r="C32" s="176" t="s">
        <v>217</v>
      </c>
      <c r="D32" s="115" t="s">
        <v>218</v>
      </c>
      <c r="E32" s="181" t="s">
        <v>430</v>
      </c>
      <c r="F32" s="183" t="s">
        <v>235</v>
      </c>
      <c r="G32" s="116" t="s">
        <v>236</v>
      </c>
    </row>
    <row r="33" spans="1:7" ht="13.5" customHeight="1" x14ac:dyDescent="0.4">
      <c r="A33" s="175" t="s">
        <v>393</v>
      </c>
      <c r="B33" s="115" t="s">
        <v>219</v>
      </c>
      <c r="C33" s="176" t="s">
        <v>220</v>
      </c>
      <c r="D33" s="183" t="s">
        <v>431</v>
      </c>
      <c r="E33" s="116" t="s">
        <v>221</v>
      </c>
      <c r="F33" s="115" t="s">
        <v>237</v>
      </c>
      <c r="G33" s="181" t="s">
        <v>273</v>
      </c>
    </row>
    <row r="34" spans="1:7" ht="13.5" customHeight="1" x14ac:dyDescent="0.4">
      <c r="A34" s="175" t="s">
        <v>396</v>
      </c>
      <c r="B34" s="115" t="s">
        <v>222</v>
      </c>
      <c r="C34" s="176" t="s">
        <v>223</v>
      </c>
      <c r="D34" s="115" t="s">
        <v>224</v>
      </c>
      <c r="E34" s="181" t="s">
        <v>432</v>
      </c>
      <c r="F34" s="183" t="s">
        <v>238</v>
      </c>
      <c r="G34" s="116" t="s">
        <v>239</v>
      </c>
    </row>
    <row r="35" spans="1:7" ht="13.5" customHeight="1" x14ac:dyDescent="0.4">
      <c r="A35" s="175" t="s">
        <v>398</v>
      </c>
      <c r="B35" s="115" t="s">
        <v>226</v>
      </c>
      <c r="C35" s="176" t="s">
        <v>227</v>
      </c>
      <c r="D35" s="183" t="s">
        <v>433</v>
      </c>
      <c r="E35" s="176" t="s">
        <v>228</v>
      </c>
      <c r="F35" s="115" t="s">
        <v>240</v>
      </c>
      <c r="G35" s="181" t="s">
        <v>279</v>
      </c>
    </row>
    <row r="36" spans="1:7" ht="13.5" customHeight="1" x14ac:dyDescent="0.4">
      <c r="A36" s="177" t="s">
        <v>400</v>
      </c>
      <c r="B36" s="119" t="s">
        <v>229</v>
      </c>
      <c r="C36" s="120" t="s">
        <v>230</v>
      </c>
      <c r="D36" s="424"/>
      <c r="E36" s="425"/>
      <c r="F36" s="424"/>
      <c r="G36" s="425"/>
    </row>
    <row r="37" spans="1:7" x14ac:dyDescent="0.4">
      <c r="A37" s="184"/>
      <c r="B37" s="185"/>
      <c r="C37" s="176"/>
      <c r="D37" s="185"/>
      <c r="E37" s="176"/>
      <c r="F37" s="176"/>
      <c r="G37" s="176"/>
    </row>
    <row r="38" spans="1:7" ht="13.5" customHeight="1" x14ac:dyDescent="0.4">
      <c r="A38" s="171" t="s">
        <v>178</v>
      </c>
      <c r="B38" s="417" t="s">
        <v>434</v>
      </c>
      <c r="C38" s="418"/>
      <c r="D38" s="417" t="s">
        <v>435</v>
      </c>
      <c r="E38" s="418"/>
      <c r="F38" s="417" t="s">
        <v>436</v>
      </c>
      <c r="G38" s="418"/>
    </row>
    <row r="39" spans="1:7" ht="13.5" customHeight="1" x14ac:dyDescent="0.4">
      <c r="A39" s="171" t="s">
        <v>180</v>
      </c>
      <c r="B39" s="432" t="s">
        <v>405</v>
      </c>
      <c r="C39" s="434"/>
      <c r="D39" s="417" t="s">
        <v>437</v>
      </c>
      <c r="E39" s="418"/>
      <c r="F39" s="432" t="s">
        <v>438</v>
      </c>
      <c r="G39" s="434"/>
    </row>
    <row r="40" spans="1:7" ht="13.5" customHeight="1" x14ac:dyDescent="0.4">
      <c r="A40" s="172" t="s">
        <v>182</v>
      </c>
      <c r="B40" s="417" t="s">
        <v>301</v>
      </c>
      <c r="C40" s="423"/>
      <c r="D40" s="417" t="s">
        <v>439</v>
      </c>
      <c r="E40" s="427"/>
      <c r="F40" s="417" t="s">
        <v>292</v>
      </c>
      <c r="G40" s="428"/>
    </row>
    <row r="41" spans="1:7" ht="13.5" customHeight="1" x14ac:dyDescent="0.4">
      <c r="A41" s="173" t="s">
        <v>384</v>
      </c>
      <c r="B41" s="149" t="s">
        <v>440</v>
      </c>
      <c r="C41" s="150" t="s">
        <v>233</v>
      </c>
      <c r="D41" s="149" t="s">
        <v>441</v>
      </c>
      <c r="E41" s="174" t="s">
        <v>442</v>
      </c>
      <c r="F41" s="149" t="s">
        <v>440</v>
      </c>
      <c r="G41" s="150" t="s">
        <v>233</v>
      </c>
    </row>
    <row r="42" spans="1:7" ht="13.5" customHeight="1" x14ac:dyDescent="0.4">
      <c r="A42" s="175" t="s">
        <v>386</v>
      </c>
      <c r="B42" s="115" t="s">
        <v>234</v>
      </c>
      <c r="C42" s="116" t="s">
        <v>443</v>
      </c>
      <c r="D42" s="115" t="s">
        <v>444</v>
      </c>
      <c r="E42" s="176" t="s">
        <v>445</v>
      </c>
      <c r="F42" s="115" t="s">
        <v>234</v>
      </c>
      <c r="G42" s="116" t="s">
        <v>443</v>
      </c>
    </row>
    <row r="43" spans="1:7" ht="13.5" customHeight="1" x14ac:dyDescent="0.4">
      <c r="A43" s="175" t="s">
        <v>389</v>
      </c>
      <c r="B43" s="115" t="s">
        <v>278</v>
      </c>
      <c r="C43" s="116" t="s">
        <v>236</v>
      </c>
      <c r="D43" s="115" t="s">
        <v>446</v>
      </c>
      <c r="E43" s="176" t="s">
        <v>447</v>
      </c>
      <c r="F43" s="115" t="s">
        <v>278</v>
      </c>
      <c r="G43" s="116" t="s">
        <v>236</v>
      </c>
    </row>
    <row r="44" spans="1:7" ht="13.5" customHeight="1" x14ac:dyDescent="0.4">
      <c r="A44" s="175" t="s">
        <v>393</v>
      </c>
      <c r="B44" s="115" t="s">
        <v>237</v>
      </c>
      <c r="C44" s="116" t="s">
        <v>276</v>
      </c>
      <c r="D44" s="115" t="s">
        <v>448</v>
      </c>
      <c r="E44" s="176" t="s">
        <v>449</v>
      </c>
      <c r="F44" s="115" t="s">
        <v>237</v>
      </c>
      <c r="G44" s="116" t="s">
        <v>276</v>
      </c>
    </row>
    <row r="45" spans="1:7" ht="13.5" customHeight="1" x14ac:dyDescent="0.4">
      <c r="A45" s="175" t="s">
        <v>396</v>
      </c>
      <c r="B45" s="115" t="s">
        <v>271</v>
      </c>
      <c r="C45" s="116" t="s">
        <v>239</v>
      </c>
      <c r="D45" s="115" t="s">
        <v>450</v>
      </c>
      <c r="E45" s="176" t="s">
        <v>451</v>
      </c>
      <c r="F45" s="115" t="s">
        <v>271</v>
      </c>
      <c r="G45" s="116" t="s">
        <v>239</v>
      </c>
    </row>
    <row r="46" spans="1:7" ht="13.5" customHeight="1" x14ac:dyDescent="0.4">
      <c r="A46" s="177" t="s">
        <v>398</v>
      </c>
      <c r="B46" s="119" t="s">
        <v>240</v>
      </c>
      <c r="C46" s="121" t="s">
        <v>268</v>
      </c>
      <c r="D46" s="119" t="s">
        <v>452</v>
      </c>
      <c r="E46" s="120" t="s">
        <v>453</v>
      </c>
      <c r="F46" s="119" t="s">
        <v>240</v>
      </c>
      <c r="G46" s="121" t="s">
        <v>268</v>
      </c>
    </row>
    <row r="47" spans="1:7" x14ac:dyDescent="0.4">
      <c r="A47" s="186"/>
      <c r="B47" s="187"/>
      <c r="C47" s="176"/>
      <c r="D47" s="187"/>
      <c r="E47" s="176"/>
      <c r="F47" s="176"/>
      <c r="G47" s="176"/>
    </row>
    <row r="48" spans="1:7" ht="18.75" x14ac:dyDescent="0.4">
      <c r="A48" s="431" t="s">
        <v>373</v>
      </c>
      <c r="B48" s="431"/>
      <c r="C48" s="431"/>
      <c r="D48" s="431"/>
      <c r="E48" s="431"/>
      <c r="F48" s="431"/>
      <c r="G48" s="431"/>
    </row>
    <row r="49" spans="1:7" ht="18.75" x14ac:dyDescent="0.4">
      <c r="A49" s="438" t="s">
        <v>454</v>
      </c>
      <c r="B49" s="438"/>
      <c r="C49" s="438"/>
      <c r="D49" s="438"/>
      <c r="E49" s="438"/>
      <c r="F49" s="438"/>
      <c r="G49" s="438"/>
    </row>
    <row r="50" spans="1:7" ht="18.75" x14ac:dyDescent="0.4">
      <c r="A50" s="154"/>
      <c r="B50" s="154"/>
      <c r="C50" s="154"/>
      <c r="D50" s="154"/>
      <c r="E50" s="154"/>
      <c r="F50" s="154"/>
      <c r="G50" s="154"/>
    </row>
    <row r="51" spans="1:7" ht="17.25" x14ac:dyDescent="0.4">
      <c r="A51" s="429" t="s">
        <v>455</v>
      </c>
      <c r="B51" s="416"/>
      <c r="C51" s="416"/>
      <c r="D51" s="416"/>
      <c r="E51" s="416"/>
      <c r="F51" s="416"/>
      <c r="G51" s="416"/>
    </row>
    <row r="52" spans="1:7" ht="13.5" customHeight="1" x14ac:dyDescent="0.4">
      <c r="A52" s="171" t="s">
        <v>178</v>
      </c>
      <c r="B52" s="417" t="s">
        <v>179</v>
      </c>
      <c r="C52" s="418"/>
      <c r="D52" s="417" t="s">
        <v>456</v>
      </c>
      <c r="E52" s="418"/>
      <c r="F52" s="417" t="s">
        <v>457</v>
      </c>
      <c r="G52" s="418"/>
    </row>
    <row r="53" spans="1:7" ht="13.5" customHeight="1" x14ac:dyDescent="0.4">
      <c r="A53" s="171" t="s">
        <v>180</v>
      </c>
      <c r="B53" s="417" t="s">
        <v>406</v>
      </c>
      <c r="C53" s="418"/>
      <c r="D53" s="417" t="s">
        <v>405</v>
      </c>
      <c r="E53" s="418"/>
      <c r="F53" s="417" t="s">
        <v>458</v>
      </c>
      <c r="G53" s="418"/>
    </row>
    <row r="54" spans="1:7" ht="13.5" customHeight="1" x14ac:dyDescent="0.4">
      <c r="A54" s="172" t="s">
        <v>182</v>
      </c>
      <c r="B54" s="417" t="s">
        <v>459</v>
      </c>
      <c r="C54" s="423"/>
      <c r="D54" s="417" t="s">
        <v>460</v>
      </c>
      <c r="E54" s="423"/>
      <c r="F54" s="417" t="s">
        <v>461</v>
      </c>
      <c r="G54" s="423"/>
    </row>
    <row r="55" spans="1:7" ht="13.5" customHeight="1" x14ac:dyDescent="0.4">
      <c r="A55" s="173" t="s">
        <v>183</v>
      </c>
      <c r="B55" s="149" t="s">
        <v>238</v>
      </c>
      <c r="C55" s="150" t="s">
        <v>275</v>
      </c>
      <c r="D55" s="149" t="s">
        <v>462</v>
      </c>
      <c r="E55" s="174" t="s">
        <v>573</v>
      </c>
      <c r="F55" s="149" t="s">
        <v>464</v>
      </c>
      <c r="G55" s="150" t="s">
        <v>465</v>
      </c>
    </row>
    <row r="56" spans="1:7" ht="13.5" customHeight="1" x14ac:dyDescent="0.4">
      <c r="A56" s="175" t="s">
        <v>466</v>
      </c>
      <c r="B56" s="115" t="s">
        <v>277</v>
      </c>
      <c r="C56" s="116" t="s">
        <v>279</v>
      </c>
      <c r="D56" s="115" t="s">
        <v>574</v>
      </c>
      <c r="E56" s="176" t="s">
        <v>468</v>
      </c>
      <c r="F56" s="115" t="s">
        <v>469</v>
      </c>
      <c r="G56" s="116" t="s">
        <v>470</v>
      </c>
    </row>
    <row r="57" spans="1:7" ht="13.5" customHeight="1" x14ac:dyDescent="0.4">
      <c r="A57" s="175" t="s">
        <v>471</v>
      </c>
      <c r="B57" s="115" t="s">
        <v>237</v>
      </c>
      <c r="C57" s="116" t="s">
        <v>272</v>
      </c>
      <c r="D57" s="115" t="s">
        <v>472</v>
      </c>
      <c r="E57" s="176" t="s">
        <v>575</v>
      </c>
      <c r="F57" s="115" t="s">
        <v>241</v>
      </c>
      <c r="G57" s="116" t="s">
        <v>474</v>
      </c>
    </row>
    <row r="58" spans="1:7" ht="13.5" customHeight="1" x14ac:dyDescent="0.4">
      <c r="A58" s="175" t="s">
        <v>393</v>
      </c>
      <c r="B58" s="115" t="s">
        <v>274</v>
      </c>
      <c r="C58" s="116" t="s">
        <v>236</v>
      </c>
      <c r="D58" s="115" t="s">
        <v>1</v>
      </c>
      <c r="E58" s="176" t="s">
        <v>476</v>
      </c>
      <c r="F58" s="115" t="s">
        <v>242</v>
      </c>
      <c r="G58" s="116" t="s">
        <v>477</v>
      </c>
    </row>
    <row r="59" spans="1:7" ht="13.5" customHeight="1" x14ac:dyDescent="0.4">
      <c r="A59" s="175" t="s">
        <v>478</v>
      </c>
      <c r="B59" s="115" t="s">
        <v>269</v>
      </c>
      <c r="C59" s="176" t="s">
        <v>268</v>
      </c>
      <c r="D59" s="115" t="s">
        <v>479</v>
      </c>
      <c r="E59" s="116" t="s">
        <v>576</v>
      </c>
      <c r="F59" s="115" t="s">
        <v>481</v>
      </c>
      <c r="G59" s="116" t="s">
        <v>227</v>
      </c>
    </row>
    <row r="60" spans="1:7" ht="13.5" customHeight="1" x14ac:dyDescent="0.4">
      <c r="A60" s="175" t="s">
        <v>482</v>
      </c>
      <c r="B60" s="115" t="s">
        <v>271</v>
      </c>
      <c r="C60" s="176" t="s">
        <v>239</v>
      </c>
      <c r="D60" s="115" t="s">
        <v>577</v>
      </c>
      <c r="E60" s="176" t="s">
        <v>484</v>
      </c>
      <c r="F60" s="115" t="s">
        <v>229</v>
      </c>
      <c r="G60" s="116" t="s">
        <v>284</v>
      </c>
    </row>
    <row r="61" spans="1:7" ht="13.5" customHeight="1" x14ac:dyDescent="0.4">
      <c r="A61" s="177" t="s">
        <v>485</v>
      </c>
      <c r="B61" s="119" t="s">
        <v>240</v>
      </c>
      <c r="C61" s="120" t="s">
        <v>280</v>
      </c>
      <c r="D61" s="424"/>
      <c r="E61" s="425"/>
      <c r="F61" s="424"/>
      <c r="G61" s="425"/>
    </row>
    <row r="62" spans="1:7" x14ac:dyDescent="0.4">
      <c r="A62" s="188"/>
      <c r="B62" s="188"/>
      <c r="C62" s="188"/>
      <c r="D62" s="188"/>
      <c r="E62" s="188"/>
      <c r="F62" s="188"/>
      <c r="G62" s="188"/>
    </row>
    <row r="63" spans="1:7" ht="13.5" customHeight="1" x14ac:dyDescent="0.4">
      <c r="A63" s="171" t="s">
        <v>178</v>
      </c>
      <c r="B63" s="417" t="s">
        <v>486</v>
      </c>
      <c r="C63" s="418"/>
      <c r="D63" s="417" t="s">
        <v>487</v>
      </c>
      <c r="E63" s="418"/>
      <c r="F63" s="417" t="s">
        <v>488</v>
      </c>
      <c r="G63" s="418"/>
    </row>
    <row r="64" spans="1:7" ht="13.5" customHeight="1" x14ac:dyDescent="0.4">
      <c r="A64" s="171" t="s">
        <v>180</v>
      </c>
      <c r="B64" s="417" t="s">
        <v>437</v>
      </c>
      <c r="C64" s="418"/>
      <c r="D64" s="417" t="s">
        <v>489</v>
      </c>
      <c r="E64" s="418"/>
      <c r="F64" s="417" t="s">
        <v>490</v>
      </c>
      <c r="G64" s="418"/>
    </row>
    <row r="65" spans="1:12" ht="13.5" customHeight="1" x14ac:dyDescent="0.4">
      <c r="A65" s="172" t="s">
        <v>182</v>
      </c>
      <c r="B65" s="417" t="s">
        <v>439</v>
      </c>
      <c r="C65" s="423"/>
      <c r="D65" s="417" t="s">
        <v>491</v>
      </c>
      <c r="E65" s="427"/>
      <c r="F65" s="417" t="s">
        <v>492</v>
      </c>
      <c r="G65" s="428"/>
    </row>
    <row r="66" spans="1:12" ht="13.5" customHeight="1" x14ac:dyDescent="0.4">
      <c r="A66" s="173" t="s">
        <v>183</v>
      </c>
      <c r="B66" s="149" t="s">
        <v>464</v>
      </c>
      <c r="C66" s="174" t="s">
        <v>465</v>
      </c>
      <c r="D66" s="149" t="s">
        <v>493</v>
      </c>
      <c r="E66" s="150" t="s">
        <v>463</v>
      </c>
      <c r="F66" s="149" t="s">
        <v>464</v>
      </c>
      <c r="G66" s="150" t="s">
        <v>465</v>
      </c>
    </row>
    <row r="67" spans="1:12" ht="13.5" customHeight="1" x14ac:dyDescent="0.4">
      <c r="A67" s="175" t="s">
        <v>466</v>
      </c>
      <c r="B67" s="115" t="s">
        <v>469</v>
      </c>
      <c r="C67" s="176" t="s">
        <v>470</v>
      </c>
      <c r="D67" s="115" t="s">
        <v>467</v>
      </c>
      <c r="E67" s="116" t="s">
        <v>494</v>
      </c>
      <c r="F67" s="115" t="s">
        <v>469</v>
      </c>
      <c r="G67" s="116" t="s">
        <v>470</v>
      </c>
    </row>
    <row r="68" spans="1:12" ht="13.5" customHeight="1" x14ac:dyDescent="0.4">
      <c r="A68" s="175" t="s">
        <v>471</v>
      </c>
      <c r="B68" s="115" t="s">
        <v>241</v>
      </c>
      <c r="C68" s="176" t="s">
        <v>474</v>
      </c>
      <c r="D68" s="115" t="s">
        <v>495</v>
      </c>
      <c r="E68" s="116" t="s">
        <v>473</v>
      </c>
      <c r="F68" s="115" t="s">
        <v>241</v>
      </c>
      <c r="G68" s="116" t="s">
        <v>474</v>
      </c>
    </row>
    <row r="69" spans="1:12" ht="13.5" customHeight="1" x14ac:dyDescent="0.4">
      <c r="A69" s="175" t="s">
        <v>393</v>
      </c>
      <c r="B69" s="115" t="s">
        <v>242</v>
      </c>
      <c r="C69" s="176" t="s">
        <v>477</v>
      </c>
      <c r="D69" s="115" t="s">
        <v>475</v>
      </c>
      <c r="E69" s="116" t="s">
        <v>496</v>
      </c>
      <c r="F69" s="115" t="s">
        <v>242</v>
      </c>
      <c r="G69" s="116" t="s">
        <v>477</v>
      </c>
    </row>
    <row r="70" spans="1:12" ht="13.5" customHeight="1" x14ac:dyDescent="0.4">
      <c r="A70" s="175" t="s">
        <v>478</v>
      </c>
      <c r="B70" s="115" t="s">
        <v>481</v>
      </c>
      <c r="C70" s="176" t="s">
        <v>227</v>
      </c>
      <c r="D70" s="115" t="s">
        <v>497</v>
      </c>
      <c r="E70" s="116" t="s">
        <v>480</v>
      </c>
      <c r="F70" s="115" t="s">
        <v>481</v>
      </c>
      <c r="G70" s="116" t="s">
        <v>227</v>
      </c>
    </row>
    <row r="71" spans="1:12" ht="13.5" customHeight="1" x14ac:dyDescent="0.4">
      <c r="A71" s="177" t="s">
        <v>482</v>
      </c>
      <c r="B71" s="119" t="s">
        <v>229</v>
      </c>
      <c r="C71" s="120" t="s">
        <v>284</v>
      </c>
      <c r="D71" s="119" t="s">
        <v>483</v>
      </c>
      <c r="E71" s="121" t="s">
        <v>498</v>
      </c>
      <c r="F71" s="119" t="s">
        <v>229</v>
      </c>
      <c r="G71" s="121" t="s">
        <v>284</v>
      </c>
    </row>
    <row r="72" spans="1:12" x14ac:dyDescent="0.4">
      <c r="A72" s="122"/>
      <c r="B72" s="122"/>
      <c r="C72" s="122"/>
      <c r="D72" s="122"/>
      <c r="E72" s="122"/>
      <c r="F72" s="122"/>
      <c r="G72" s="122"/>
    </row>
    <row r="73" spans="1:12" ht="17.25" x14ac:dyDescent="0.4">
      <c r="A73" s="429" t="s">
        <v>499</v>
      </c>
      <c r="B73" s="416"/>
      <c r="C73" s="416"/>
      <c r="D73" s="416"/>
      <c r="E73" s="416"/>
      <c r="F73" s="416"/>
      <c r="G73" s="416"/>
    </row>
    <row r="74" spans="1:12" ht="13.5" customHeight="1" x14ac:dyDescent="0.4">
      <c r="A74" s="171" t="s">
        <v>178</v>
      </c>
      <c r="B74" s="417" t="s">
        <v>179</v>
      </c>
      <c r="C74" s="418"/>
      <c r="D74" s="417" t="s">
        <v>500</v>
      </c>
      <c r="E74" s="430"/>
      <c r="F74" s="417" t="s">
        <v>501</v>
      </c>
      <c r="G74" s="430"/>
    </row>
    <row r="75" spans="1:12" ht="13.5" customHeight="1" x14ac:dyDescent="0.4">
      <c r="A75" s="171" t="s">
        <v>180</v>
      </c>
      <c r="B75" s="417" t="s">
        <v>380</v>
      </c>
      <c r="C75" s="418"/>
      <c r="D75" s="417" t="s">
        <v>404</v>
      </c>
      <c r="E75" s="418"/>
      <c r="F75" s="417" t="s">
        <v>458</v>
      </c>
      <c r="G75" s="418"/>
    </row>
    <row r="76" spans="1:12" ht="13.5" customHeight="1" x14ac:dyDescent="0.4">
      <c r="A76" s="172" t="s">
        <v>182</v>
      </c>
      <c r="B76" s="417" t="s">
        <v>502</v>
      </c>
      <c r="C76" s="423"/>
      <c r="D76" s="417" t="s">
        <v>503</v>
      </c>
      <c r="E76" s="423"/>
      <c r="F76" s="417" t="s">
        <v>504</v>
      </c>
      <c r="G76" s="423"/>
    </row>
    <row r="77" spans="1:12" ht="13.5" customHeight="1" x14ac:dyDescent="0.4">
      <c r="A77" s="173" t="s">
        <v>183</v>
      </c>
      <c r="B77" s="149" t="s">
        <v>241</v>
      </c>
      <c r="C77" s="150" t="s">
        <v>505</v>
      </c>
      <c r="D77" s="149" t="s">
        <v>243</v>
      </c>
      <c r="E77" s="174" t="s">
        <v>225</v>
      </c>
      <c r="F77" s="149" t="s">
        <v>254</v>
      </c>
      <c r="G77" s="150" t="s">
        <v>214</v>
      </c>
      <c r="I77" s="158"/>
      <c r="J77" s="158"/>
      <c r="K77" s="158"/>
      <c r="L77" s="187"/>
    </row>
    <row r="78" spans="1:12" ht="13.5" customHeight="1" x14ac:dyDescent="0.4">
      <c r="A78" s="175" t="s">
        <v>466</v>
      </c>
      <c r="B78" s="115" t="s">
        <v>244</v>
      </c>
      <c r="C78" s="116" t="s">
        <v>5</v>
      </c>
      <c r="D78" s="115" t="s">
        <v>506</v>
      </c>
      <c r="E78" s="176" t="s">
        <v>245</v>
      </c>
      <c r="F78" s="115" t="s">
        <v>209</v>
      </c>
      <c r="G78" s="116" t="s">
        <v>264</v>
      </c>
      <c r="I78" s="158"/>
      <c r="J78" s="158"/>
      <c r="K78" s="158"/>
      <c r="L78" s="187"/>
    </row>
    <row r="79" spans="1:12" ht="13.5" customHeight="1" x14ac:dyDescent="0.4">
      <c r="A79" s="175" t="s">
        <v>471</v>
      </c>
      <c r="B79" s="115" t="s">
        <v>246</v>
      </c>
      <c r="C79" s="116" t="s">
        <v>2</v>
      </c>
      <c r="D79" s="115" t="s">
        <v>247</v>
      </c>
      <c r="E79" s="176" t="s">
        <v>507</v>
      </c>
      <c r="F79" s="115" t="s">
        <v>255</v>
      </c>
      <c r="G79" s="116" t="s">
        <v>272</v>
      </c>
      <c r="I79" s="158"/>
      <c r="J79" s="158"/>
      <c r="K79" s="158"/>
      <c r="L79" s="187"/>
    </row>
    <row r="80" spans="1:12" ht="13.5" customHeight="1" x14ac:dyDescent="0.4">
      <c r="A80" s="175" t="s">
        <v>393</v>
      </c>
      <c r="B80" s="115" t="s">
        <v>234</v>
      </c>
      <c r="C80" s="116" t="s">
        <v>6</v>
      </c>
      <c r="D80" s="115" t="s">
        <v>508</v>
      </c>
      <c r="E80" s="176" t="s">
        <v>248</v>
      </c>
      <c r="F80" s="115" t="s">
        <v>274</v>
      </c>
      <c r="G80" s="116" t="s">
        <v>270</v>
      </c>
      <c r="I80" s="158"/>
      <c r="J80" s="187"/>
      <c r="K80" s="187"/>
      <c r="L80" s="187"/>
    </row>
    <row r="81" spans="1:12" ht="13.5" customHeight="1" x14ac:dyDescent="0.4">
      <c r="A81" s="175" t="s">
        <v>478</v>
      </c>
      <c r="B81" s="115" t="s">
        <v>232</v>
      </c>
      <c r="C81" s="176" t="s">
        <v>7</v>
      </c>
      <c r="D81" s="115" t="s">
        <v>249</v>
      </c>
      <c r="E81" s="116" t="s">
        <v>212</v>
      </c>
      <c r="F81" s="115" t="s">
        <v>226</v>
      </c>
      <c r="G81" s="116" t="s">
        <v>260</v>
      </c>
      <c r="I81" s="158"/>
      <c r="J81" s="187"/>
      <c r="K81" s="187"/>
      <c r="L81" s="187"/>
    </row>
    <row r="82" spans="1:12" ht="13.5" customHeight="1" x14ac:dyDescent="0.4">
      <c r="A82" s="175" t="s">
        <v>482</v>
      </c>
      <c r="B82" s="115" t="s">
        <v>250</v>
      </c>
      <c r="C82" s="176" t="s">
        <v>4</v>
      </c>
      <c r="D82" s="115" t="s">
        <v>509</v>
      </c>
      <c r="E82" s="176" t="s">
        <v>251</v>
      </c>
      <c r="F82" s="115" t="s">
        <v>261</v>
      </c>
      <c r="G82" s="116" t="s">
        <v>223</v>
      </c>
      <c r="I82" s="158"/>
      <c r="J82" s="187"/>
      <c r="K82" s="187"/>
      <c r="L82" s="187"/>
    </row>
    <row r="83" spans="1:12" ht="13.5" customHeight="1" x14ac:dyDescent="0.4">
      <c r="A83" s="177" t="s">
        <v>485</v>
      </c>
      <c r="B83" s="119" t="s">
        <v>242</v>
      </c>
      <c r="C83" s="120" t="s">
        <v>3</v>
      </c>
      <c r="D83" s="424"/>
      <c r="E83" s="425"/>
      <c r="F83" s="424"/>
      <c r="G83" s="425"/>
      <c r="I83" s="158"/>
      <c r="J83" s="187"/>
      <c r="K83" s="441"/>
      <c r="L83" s="442"/>
    </row>
    <row r="84" spans="1:12" x14ac:dyDescent="0.4">
      <c r="A84" s="178"/>
      <c r="B84" s="178"/>
      <c r="C84" s="178"/>
      <c r="D84" s="178"/>
      <c r="E84" s="178"/>
      <c r="F84" s="178"/>
      <c r="G84" s="178"/>
    </row>
    <row r="85" spans="1:12" ht="13.5" customHeight="1" x14ac:dyDescent="0.4">
      <c r="A85" s="171" t="s">
        <v>178</v>
      </c>
      <c r="B85" s="417" t="s">
        <v>510</v>
      </c>
      <c r="C85" s="430"/>
      <c r="D85" s="417" t="s">
        <v>511</v>
      </c>
      <c r="E85" s="430"/>
      <c r="F85" s="417" t="s">
        <v>512</v>
      </c>
      <c r="G85" s="430"/>
    </row>
    <row r="86" spans="1:12" ht="13.5" customHeight="1" x14ac:dyDescent="0.4">
      <c r="A86" s="171" t="s">
        <v>180</v>
      </c>
      <c r="B86" s="417" t="s">
        <v>490</v>
      </c>
      <c r="C86" s="418"/>
      <c r="D86" s="417" t="s">
        <v>489</v>
      </c>
      <c r="E86" s="418"/>
      <c r="F86" s="417" t="s">
        <v>513</v>
      </c>
      <c r="G86" s="430"/>
    </row>
    <row r="87" spans="1:12" ht="13.5" customHeight="1" x14ac:dyDescent="0.4">
      <c r="A87" s="172" t="s">
        <v>182</v>
      </c>
      <c r="B87" s="417" t="s">
        <v>514</v>
      </c>
      <c r="C87" s="423"/>
      <c r="D87" s="417" t="s">
        <v>515</v>
      </c>
      <c r="E87" s="427"/>
      <c r="F87" s="417" t="s">
        <v>516</v>
      </c>
      <c r="G87" s="428"/>
    </row>
    <row r="88" spans="1:12" ht="13.5" customHeight="1" x14ac:dyDescent="0.4">
      <c r="A88" s="173" t="s">
        <v>183</v>
      </c>
      <c r="B88" s="149" t="s">
        <v>254</v>
      </c>
      <c r="C88" s="174" t="s">
        <v>214</v>
      </c>
      <c r="D88" s="149" t="s">
        <v>517</v>
      </c>
      <c r="E88" s="150" t="s">
        <v>518</v>
      </c>
      <c r="F88" s="149" t="s">
        <v>254</v>
      </c>
      <c r="G88" s="150" t="s">
        <v>214</v>
      </c>
    </row>
    <row r="89" spans="1:12" ht="13.5" customHeight="1" x14ac:dyDescent="0.4">
      <c r="A89" s="175" t="s">
        <v>466</v>
      </c>
      <c r="B89" s="115" t="s">
        <v>209</v>
      </c>
      <c r="C89" s="176" t="s">
        <v>264</v>
      </c>
      <c r="D89" s="115" t="s">
        <v>519</v>
      </c>
      <c r="E89" s="116" t="s">
        <v>286</v>
      </c>
      <c r="F89" s="115" t="s">
        <v>209</v>
      </c>
      <c r="G89" s="116" t="s">
        <v>264</v>
      </c>
    </row>
    <row r="90" spans="1:12" ht="13.5" customHeight="1" x14ac:dyDescent="0.4">
      <c r="A90" s="175" t="s">
        <v>471</v>
      </c>
      <c r="B90" s="115" t="s">
        <v>255</v>
      </c>
      <c r="C90" s="176" t="s">
        <v>272</v>
      </c>
      <c r="D90" s="115" t="s">
        <v>520</v>
      </c>
      <c r="E90" s="116" t="s">
        <v>521</v>
      </c>
      <c r="F90" s="115" t="s">
        <v>255</v>
      </c>
      <c r="G90" s="116" t="s">
        <v>272</v>
      </c>
    </row>
    <row r="91" spans="1:12" ht="13.5" customHeight="1" x14ac:dyDescent="0.4">
      <c r="A91" s="175" t="s">
        <v>393</v>
      </c>
      <c r="B91" s="115" t="s">
        <v>274</v>
      </c>
      <c r="C91" s="176" t="s">
        <v>270</v>
      </c>
      <c r="D91" s="115" t="s">
        <v>522</v>
      </c>
      <c r="E91" s="116" t="s">
        <v>287</v>
      </c>
      <c r="F91" s="115" t="s">
        <v>274</v>
      </c>
      <c r="G91" s="116" t="s">
        <v>270</v>
      </c>
    </row>
    <row r="92" spans="1:12" ht="13.5" customHeight="1" x14ac:dyDescent="0.4">
      <c r="A92" s="175" t="s">
        <v>478</v>
      </c>
      <c r="B92" s="115" t="s">
        <v>226</v>
      </c>
      <c r="C92" s="176" t="s">
        <v>260</v>
      </c>
      <c r="D92" s="115" t="s">
        <v>523</v>
      </c>
      <c r="E92" s="116" t="s">
        <v>524</v>
      </c>
      <c r="F92" s="115" t="s">
        <v>226</v>
      </c>
      <c r="G92" s="116" t="s">
        <v>260</v>
      </c>
    </row>
    <row r="93" spans="1:12" ht="13.5" customHeight="1" x14ac:dyDescent="0.4">
      <c r="A93" s="177" t="s">
        <v>482</v>
      </c>
      <c r="B93" s="119" t="s">
        <v>261</v>
      </c>
      <c r="C93" s="120" t="s">
        <v>223</v>
      </c>
      <c r="D93" s="119" t="s">
        <v>525</v>
      </c>
      <c r="E93" s="121" t="s">
        <v>288</v>
      </c>
      <c r="F93" s="119" t="s">
        <v>261</v>
      </c>
      <c r="G93" s="121" t="s">
        <v>223</v>
      </c>
    </row>
    <row r="94" spans="1:12" x14ac:dyDescent="0.4">
      <c r="A94" s="122"/>
      <c r="B94" s="122"/>
      <c r="C94" s="122"/>
      <c r="D94" s="122"/>
      <c r="E94" s="122"/>
      <c r="F94" s="122"/>
      <c r="G94" s="122"/>
    </row>
    <row r="95" spans="1:12" ht="17.25" x14ac:dyDescent="0.4">
      <c r="A95" s="414" t="s">
        <v>526</v>
      </c>
      <c r="B95" s="415"/>
      <c r="C95" s="415"/>
      <c r="D95" s="416"/>
      <c r="E95" s="416"/>
      <c r="F95" s="416"/>
      <c r="G95" s="416"/>
    </row>
    <row r="96" spans="1:12" ht="13.5" customHeight="1" x14ac:dyDescent="0.4">
      <c r="A96" s="171" t="s">
        <v>178</v>
      </c>
      <c r="B96" s="417" t="s">
        <v>179</v>
      </c>
      <c r="C96" s="418"/>
      <c r="D96" s="189"/>
      <c r="E96" s="189"/>
      <c r="F96" s="189"/>
      <c r="G96" s="189"/>
    </row>
    <row r="97" spans="1:18" ht="13.5" customHeight="1" x14ac:dyDescent="0.4">
      <c r="A97" s="171" t="s">
        <v>180</v>
      </c>
      <c r="B97" s="417" t="s">
        <v>406</v>
      </c>
      <c r="C97" s="418"/>
      <c r="D97" s="419"/>
      <c r="E97" s="420"/>
      <c r="F97" s="421"/>
      <c r="G97" s="422"/>
    </row>
    <row r="98" spans="1:18" ht="13.5" customHeight="1" x14ac:dyDescent="0.4">
      <c r="A98" s="172" t="s">
        <v>182</v>
      </c>
      <c r="B98" s="417" t="s">
        <v>527</v>
      </c>
      <c r="C98" s="423"/>
      <c r="D98" s="439"/>
      <c r="E98" s="440"/>
      <c r="F98" s="421"/>
      <c r="G98" s="440"/>
    </row>
    <row r="99" spans="1:18" ht="13.5" customHeight="1" x14ac:dyDescent="0.4">
      <c r="A99" s="173" t="s">
        <v>183</v>
      </c>
      <c r="B99" s="149" t="s">
        <v>257</v>
      </c>
      <c r="C99" s="150" t="s">
        <v>258</v>
      </c>
      <c r="D99" s="190"/>
      <c r="E99" s="187"/>
      <c r="F99" s="176"/>
      <c r="G99" s="176"/>
    </row>
    <row r="100" spans="1:18" ht="13.5" customHeight="1" x14ac:dyDescent="0.4">
      <c r="A100" s="175" t="s">
        <v>466</v>
      </c>
      <c r="B100" s="115" t="s">
        <v>259</v>
      </c>
      <c r="C100" s="116" t="s">
        <v>265</v>
      </c>
      <c r="D100" s="190"/>
      <c r="E100" s="187"/>
      <c r="F100" s="176"/>
      <c r="G100" s="176"/>
    </row>
    <row r="101" spans="1:18" ht="13.5" customHeight="1" x14ac:dyDescent="0.4">
      <c r="A101" s="175" t="s">
        <v>471</v>
      </c>
      <c r="B101" s="115" t="s">
        <v>261</v>
      </c>
      <c r="C101" s="116" t="s">
        <v>262</v>
      </c>
      <c r="D101" s="190"/>
      <c r="E101" s="187"/>
      <c r="F101" s="176"/>
      <c r="G101" s="176"/>
    </row>
    <row r="102" spans="1:18" ht="13.5" customHeight="1" x14ac:dyDescent="0.4">
      <c r="A102" s="175" t="s">
        <v>393</v>
      </c>
      <c r="B102" s="115" t="s">
        <v>263</v>
      </c>
      <c r="C102" s="116" t="s">
        <v>264</v>
      </c>
      <c r="D102" s="190"/>
      <c r="E102" s="187"/>
      <c r="F102" s="176"/>
      <c r="G102" s="176"/>
    </row>
    <row r="103" spans="1:18" ht="13.5" customHeight="1" x14ac:dyDescent="0.4">
      <c r="A103" s="177" t="s">
        <v>478</v>
      </c>
      <c r="B103" s="119" t="s">
        <v>254</v>
      </c>
      <c r="C103" s="121" t="s">
        <v>260</v>
      </c>
      <c r="D103" s="190"/>
      <c r="E103" s="187"/>
      <c r="F103" s="176"/>
      <c r="G103" s="176"/>
    </row>
    <row r="107" spans="1:18" ht="13.5" customHeight="1" x14ac:dyDescent="0.4">
      <c r="J107" s="146" t="s">
        <v>178</v>
      </c>
      <c r="K107" s="406" t="s">
        <v>179</v>
      </c>
      <c r="L107" s="407"/>
      <c r="M107" s="408"/>
      <c r="N107" s="409"/>
      <c r="O107" s="406" t="s">
        <v>256</v>
      </c>
      <c r="P107" s="407"/>
      <c r="Q107" s="408"/>
      <c r="R107" s="409"/>
    </row>
    <row r="108" spans="1:18" ht="13.5" customHeight="1" x14ac:dyDescent="0.4">
      <c r="J108" s="146" t="s">
        <v>180</v>
      </c>
      <c r="K108" s="410" t="s">
        <v>266</v>
      </c>
      <c r="L108" s="408"/>
      <c r="M108" s="410" t="s">
        <v>267</v>
      </c>
      <c r="N108" s="408"/>
      <c r="O108" s="411" t="s">
        <v>181</v>
      </c>
      <c r="P108" s="412"/>
      <c r="Q108" s="411" t="s">
        <v>207</v>
      </c>
      <c r="R108" s="413"/>
    </row>
    <row r="109" spans="1:18" ht="18.75" x14ac:dyDescent="0.4">
      <c r="J109" s="147" t="s">
        <v>182</v>
      </c>
      <c r="K109" s="410" t="s">
        <v>231</v>
      </c>
      <c r="L109" s="426"/>
      <c r="M109" s="410" t="s">
        <v>231</v>
      </c>
      <c r="N109" s="426"/>
      <c r="O109" s="410" t="s">
        <v>231</v>
      </c>
      <c r="P109" s="426"/>
      <c r="Q109" s="410" t="s">
        <v>231</v>
      </c>
      <c r="R109" s="426"/>
    </row>
    <row r="110" spans="1:18" x14ac:dyDescent="0.4">
      <c r="J110" s="148" t="s">
        <v>183</v>
      </c>
      <c r="K110" s="149" t="s">
        <v>238</v>
      </c>
      <c r="L110" s="150" t="s">
        <v>268</v>
      </c>
      <c r="M110" s="149" t="s">
        <v>269</v>
      </c>
      <c r="N110" s="150" t="s">
        <v>270</v>
      </c>
      <c r="O110" s="149" t="s">
        <v>238</v>
      </c>
      <c r="P110" s="150" t="s">
        <v>268</v>
      </c>
      <c r="Q110" s="149" t="s">
        <v>269</v>
      </c>
      <c r="R110" s="150" t="s">
        <v>270</v>
      </c>
    </row>
    <row r="111" spans="1:18" x14ac:dyDescent="0.4">
      <c r="J111" s="114" t="s">
        <v>187</v>
      </c>
      <c r="K111" s="115" t="s">
        <v>271</v>
      </c>
      <c r="L111" s="116" t="s">
        <v>236</v>
      </c>
      <c r="M111" s="115" t="s">
        <v>255</v>
      </c>
      <c r="N111" s="116" t="s">
        <v>272</v>
      </c>
      <c r="O111" s="115" t="s">
        <v>271</v>
      </c>
      <c r="P111" s="116" t="s">
        <v>236</v>
      </c>
      <c r="Q111" s="115" t="s">
        <v>255</v>
      </c>
      <c r="R111" s="116" t="s">
        <v>272</v>
      </c>
    </row>
    <row r="112" spans="1:18" x14ac:dyDescent="0.4">
      <c r="J112" s="114" t="s">
        <v>190</v>
      </c>
      <c r="K112" s="115" t="s">
        <v>237</v>
      </c>
      <c r="L112" s="116" t="s">
        <v>273</v>
      </c>
      <c r="M112" s="115" t="s">
        <v>274</v>
      </c>
      <c r="N112" s="116" t="s">
        <v>275</v>
      </c>
      <c r="O112" s="115" t="s">
        <v>237</v>
      </c>
      <c r="P112" s="116" t="s">
        <v>273</v>
      </c>
      <c r="Q112" s="115" t="s">
        <v>274</v>
      </c>
      <c r="R112" s="116" t="s">
        <v>275</v>
      </c>
    </row>
    <row r="113" spans="10:18" x14ac:dyDescent="0.4">
      <c r="J113" s="114" t="s">
        <v>194</v>
      </c>
      <c r="K113" s="115" t="s">
        <v>235</v>
      </c>
      <c r="L113" s="116" t="s">
        <v>276</v>
      </c>
      <c r="M113" s="115" t="s">
        <v>277</v>
      </c>
      <c r="N113" s="116" t="s">
        <v>239</v>
      </c>
      <c r="O113" s="115" t="s">
        <v>235</v>
      </c>
      <c r="P113" s="116" t="s">
        <v>276</v>
      </c>
      <c r="Q113" s="115" t="s">
        <v>277</v>
      </c>
      <c r="R113" s="116" t="s">
        <v>239</v>
      </c>
    </row>
    <row r="114" spans="10:18" x14ac:dyDescent="0.4">
      <c r="J114" s="114" t="s">
        <v>198</v>
      </c>
      <c r="K114" s="115" t="s">
        <v>278</v>
      </c>
      <c r="L114" s="117" t="s">
        <v>279</v>
      </c>
      <c r="M114" s="115" t="s">
        <v>240</v>
      </c>
      <c r="N114" s="117" t="s">
        <v>280</v>
      </c>
      <c r="O114" s="115" t="s">
        <v>278</v>
      </c>
      <c r="P114" s="117" t="s">
        <v>279</v>
      </c>
      <c r="Q114" s="115" t="s">
        <v>240</v>
      </c>
      <c r="R114" s="116" t="s">
        <v>280</v>
      </c>
    </row>
    <row r="115" spans="10:18" x14ac:dyDescent="0.4">
      <c r="J115" s="114"/>
      <c r="K115" s="115"/>
      <c r="L115" s="117"/>
      <c r="M115" s="115"/>
      <c r="N115" s="117"/>
      <c r="O115" s="115"/>
      <c r="P115" s="117"/>
      <c r="Q115" s="115"/>
      <c r="R115" s="116"/>
    </row>
    <row r="116" spans="10:18" ht="18.75" x14ac:dyDescent="0.4">
      <c r="J116" s="118"/>
      <c r="K116" s="119"/>
      <c r="L116" s="120"/>
      <c r="M116" s="404"/>
      <c r="N116" s="405"/>
      <c r="O116" s="119"/>
      <c r="P116" s="120"/>
      <c r="Q116" s="404"/>
      <c r="R116" s="405"/>
    </row>
  </sheetData>
  <mergeCells count="109">
    <mergeCell ref="A4:G4"/>
    <mergeCell ref="B5:C5"/>
    <mergeCell ref="D5:E5"/>
    <mergeCell ref="F5:G5"/>
    <mergeCell ref="B6:C6"/>
    <mergeCell ref="D6:E6"/>
    <mergeCell ref="F6:G6"/>
    <mergeCell ref="A1:G1"/>
    <mergeCell ref="A2:G2"/>
    <mergeCell ref="B7:C7"/>
    <mergeCell ref="D7:E7"/>
    <mergeCell ref="F7:G7"/>
    <mergeCell ref="D14:E14"/>
    <mergeCell ref="B16:C16"/>
    <mergeCell ref="D16:E16"/>
    <mergeCell ref="F16:G16"/>
    <mergeCell ref="B17:C17"/>
    <mergeCell ref="D17:E17"/>
    <mergeCell ref="F17:G17"/>
    <mergeCell ref="F14:G14"/>
    <mergeCell ref="B18:C18"/>
    <mergeCell ref="D18:E18"/>
    <mergeCell ref="F18:G18"/>
    <mergeCell ref="A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D36:E36"/>
    <mergeCell ref="B38:C38"/>
    <mergeCell ref="D38:E38"/>
    <mergeCell ref="F38:G38"/>
    <mergeCell ref="B39:C39"/>
    <mergeCell ref="D39:E39"/>
    <mergeCell ref="F39:G39"/>
    <mergeCell ref="F36:G36"/>
    <mergeCell ref="B40:C40"/>
    <mergeCell ref="D40:E40"/>
    <mergeCell ref="F40:G40"/>
    <mergeCell ref="A48:G48"/>
    <mergeCell ref="B63:C63"/>
    <mergeCell ref="D63:E63"/>
    <mergeCell ref="F63:G63"/>
    <mergeCell ref="B64:C64"/>
    <mergeCell ref="D64:E64"/>
    <mergeCell ref="F64:G64"/>
    <mergeCell ref="D61:E61"/>
    <mergeCell ref="F61:G61"/>
    <mergeCell ref="A49:G49"/>
    <mergeCell ref="A51:G51"/>
    <mergeCell ref="B52:C52"/>
    <mergeCell ref="D52:E52"/>
    <mergeCell ref="F52:G52"/>
    <mergeCell ref="B53:C53"/>
    <mergeCell ref="D53:E53"/>
    <mergeCell ref="F53:G53"/>
    <mergeCell ref="B54:C54"/>
    <mergeCell ref="D54:E54"/>
    <mergeCell ref="F54:G54"/>
    <mergeCell ref="B65:C65"/>
    <mergeCell ref="D65:E65"/>
    <mergeCell ref="F65:G65"/>
    <mergeCell ref="A73:G73"/>
    <mergeCell ref="B74:C74"/>
    <mergeCell ref="D74:E74"/>
    <mergeCell ref="F74:G74"/>
    <mergeCell ref="B75:C75"/>
    <mergeCell ref="D75:E75"/>
    <mergeCell ref="F75:G75"/>
    <mergeCell ref="B76:C76"/>
    <mergeCell ref="D76:E76"/>
    <mergeCell ref="F76:G76"/>
    <mergeCell ref="D83:E83"/>
    <mergeCell ref="F83:G83"/>
    <mergeCell ref="K109:L109"/>
    <mergeCell ref="M109:N109"/>
    <mergeCell ref="O109:P109"/>
    <mergeCell ref="Q109:R109"/>
    <mergeCell ref="D98:E98"/>
    <mergeCell ref="F98:G98"/>
    <mergeCell ref="K83:L83"/>
    <mergeCell ref="B85:C85"/>
    <mergeCell ref="D85:E85"/>
    <mergeCell ref="F85:G85"/>
    <mergeCell ref="B86:C86"/>
    <mergeCell ref="D86:E86"/>
    <mergeCell ref="F86:G86"/>
    <mergeCell ref="B87:C87"/>
    <mergeCell ref="D87:E87"/>
    <mergeCell ref="F87:G87"/>
    <mergeCell ref="M116:N116"/>
    <mergeCell ref="Q116:R116"/>
    <mergeCell ref="K107:N107"/>
    <mergeCell ref="O107:R107"/>
    <mergeCell ref="K108:L108"/>
    <mergeCell ref="M108:N108"/>
    <mergeCell ref="O108:P108"/>
    <mergeCell ref="Q108:R108"/>
    <mergeCell ref="A95:G95"/>
    <mergeCell ref="B96:C96"/>
    <mergeCell ref="B97:C97"/>
    <mergeCell ref="D97:E97"/>
    <mergeCell ref="F97:G97"/>
    <mergeCell ref="B98:C98"/>
  </mergeCells>
  <phoneticPr fontId="53"/>
  <printOptions horizontalCentered="1"/>
  <pageMargins left="0.19685039370078741" right="0.19685039370078741" top="0.39370078740157483" bottom="0.19685039370078741" header="0" footer="0"/>
  <pageSetup paperSize="9" orientation="portrait" r:id="rId1"/>
  <rowBreaks count="1" manualBreakCount="1">
    <brk id="47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>
      <selection activeCell="E25" sqref="E25"/>
    </sheetView>
  </sheetViews>
  <sheetFormatPr defaultColWidth="9" defaultRowHeight="18.75" x14ac:dyDescent="0.4"/>
  <sheetData/>
  <phoneticPr fontId="53"/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155"/>
  <sheetViews>
    <sheetView view="pageBreakPreview" topLeftCell="A32" zoomScaleNormal="75" zoomScaleSheetLayoutView="100" workbookViewId="0">
      <selection activeCell="A32" sqref="A32:AQ33"/>
    </sheetView>
  </sheetViews>
  <sheetFormatPr defaultColWidth="9" defaultRowHeight="14.25" x14ac:dyDescent="0.4"/>
  <cols>
    <col min="1" max="43" width="3.125" style="56" customWidth="1"/>
    <col min="44" max="45" width="3.125" style="56" hidden="1" customWidth="1"/>
    <col min="46" max="16384" width="9" style="56"/>
  </cols>
  <sheetData>
    <row r="1" spans="1:45" ht="14.25" customHeight="1" x14ac:dyDescent="0.4">
      <c r="A1" s="451" t="s">
        <v>530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51"/>
      <c r="Z1" s="451"/>
      <c r="AA1" s="451"/>
      <c r="AB1" s="451"/>
      <c r="AC1" s="451"/>
      <c r="AD1" s="451"/>
      <c r="AE1" s="451"/>
      <c r="AF1" s="451"/>
      <c r="AG1" s="451"/>
      <c r="AH1" s="451"/>
      <c r="AI1" s="451"/>
      <c r="AJ1" s="451"/>
      <c r="AK1" s="451"/>
      <c r="AL1" s="451"/>
      <c r="AM1" s="451"/>
      <c r="AN1" s="451"/>
      <c r="AO1" s="451"/>
      <c r="AP1" s="451"/>
      <c r="AQ1" s="451"/>
      <c r="AR1" s="136"/>
      <c r="AS1" s="136"/>
    </row>
    <row r="2" spans="1:45" ht="14.25" customHeight="1" x14ac:dyDescent="0.4">
      <c r="A2" s="451"/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1"/>
      <c r="AG2" s="451"/>
      <c r="AH2" s="451"/>
      <c r="AI2" s="451"/>
      <c r="AJ2" s="451"/>
      <c r="AK2" s="451"/>
      <c r="AL2" s="451"/>
      <c r="AM2" s="451"/>
      <c r="AN2" s="451"/>
      <c r="AO2" s="451"/>
      <c r="AP2" s="451"/>
      <c r="AQ2" s="451"/>
      <c r="AR2" s="136"/>
      <c r="AS2" s="136"/>
    </row>
    <row r="3" spans="1:45" ht="27.75" customHeight="1" x14ac:dyDescent="0.4">
      <c r="C3" s="460" t="s">
        <v>8</v>
      </c>
      <c r="D3" s="460"/>
      <c r="E3" s="460"/>
      <c r="F3" s="460"/>
      <c r="G3" s="482" t="str">
        <f>U12対戦スケジュール!B6</f>
        <v>グリーンパーク白沢 Ａ</v>
      </c>
      <c r="H3" s="460"/>
      <c r="I3" s="460"/>
      <c r="J3" s="460"/>
      <c r="K3" s="460"/>
      <c r="L3" s="460"/>
      <c r="M3" s="460"/>
      <c r="N3" s="460"/>
      <c r="O3" s="460"/>
      <c r="P3" s="460" t="s">
        <v>0</v>
      </c>
      <c r="Q3" s="460"/>
      <c r="R3" s="460"/>
      <c r="S3" s="460"/>
      <c r="T3" s="482" t="str">
        <f>U12対戦スケジュール!B7</f>
        <v>宝木キッカーズ</v>
      </c>
      <c r="U3" s="460"/>
      <c r="V3" s="460"/>
      <c r="W3" s="460"/>
      <c r="X3" s="460"/>
      <c r="Y3" s="460"/>
      <c r="Z3" s="460"/>
      <c r="AA3" s="460"/>
      <c r="AB3" s="460"/>
      <c r="AC3" s="460" t="s">
        <v>9</v>
      </c>
      <c r="AD3" s="460"/>
      <c r="AE3" s="460"/>
      <c r="AF3" s="460"/>
      <c r="AG3" s="484">
        <f>U12組合せ!$B28</f>
        <v>43716</v>
      </c>
      <c r="AH3" s="485"/>
      <c r="AI3" s="485"/>
      <c r="AJ3" s="485"/>
      <c r="AK3" s="485"/>
      <c r="AL3" s="485"/>
      <c r="AM3" s="488" t="str">
        <f>"（"&amp;TEXT(AG3,"aaa")&amp;"）"</f>
        <v>（日）</v>
      </c>
      <c r="AN3" s="488"/>
      <c r="AO3" s="489"/>
    </row>
    <row r="4" spans="1:45" ht="15" customHeight="1" x14ac:dyDescent="0.4"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64"/>
      <c r="X4" s="64"/>
      <c r="Y4" s="64"/>
      <c r="Z4" s="64"/>
      <c r="AA4" s="64"/>
      <c r="AB4" s="64"/>
      <c r="AC4" s="64"/>
    </row>
    <row r="5" spans="1:45" ht="18" customHeight="1" x14ac:dyDescent="0.4">
      <c r="C5" s="510">
        <v>1</v>
      </c>
      <c r="D5" s="510"/>
      <c r="E5" s="511" t="str">
        <f>U12組合せ!$D14</f>
        <v>岡西ＦＣ</v>
      </c>
      <c r="F5" s="476"/>
      <c r="G5" s="476"/>
      <c r="H5" s="476"/>
      <c r="I5" s="476"/>
      <c r="J5" s="476"/>
      <c r="K5" s="476"/>
      <c r="L5" s="476"/>
      <c r="M5" s="476"/>
      <c r="N5" s="476"/>
      <c r="O5" s="58"/>
      <c r="P5" s="58"/>
      <c r="Q5" s="510">
        <v>6</v>
      </c>
      <c r="R5" s="510"/>
      <c r="S5" s="476" t="str">
        <f>U12組合せ!$D19</f>
        <v>宝木キッカーズ</v>
      </c>
      <c r="T5" s="476"/>
      <c r="U5" s="476"/>
      <c r="V5" s="476"/>
      <c r="W5" s="476"/>
      <c r="X5" s="476"/>
      <c r="Y5" s="476"/>
      <c r="Z5" s="476"/>
      <c r="AA5" s="476"/>
      <c r="AB5" s="476"/>
      <c r="AC5" s="68"/>
      <c r="AD5" s="55"/>
      <c r="AE5" s="475"/>
      <c r="AF5" s="475"/>
      <c r="AG5" s="476"/>
      <c r="AH5" s="476"/>
      <c r="AI5" s="476"/>
      <c r="AJ5" s="476"/>
      <c r="AK5" s="476"/>
      <c r="AL5" s="476"/>
      <c r="AM5" s="476"/>
      <c r="AN5" s="476"/>
      <c r="AO5" s="476"/>
      <c r="AP5" s="476"/>
    </row>
    <row r="6" spans="1:45" ht="18" customHeight="1" x14ac:dyDescent="0.4">
      <c r="C6" s="510">
        <v>2</v>
      </c>
      <c r="D6" s="510"/>
      <c r="E6" s="476" t="str">
        <f>U12組合せ!$D15</f>
        <v>国本ＪＳＣ</v>
      </c>
      <c r="F6" s="476"/>
      <c r="G6" s="476"/>
      <c r="H6" s="476"/>
      <c r="I6" s="476"/>
      <c r="J6" s="476"/>
      <c r="K6" s="476"/>
      <c r="L6" s="476"/>
      <c r="M6" s="476"/>
      <c r="N6" s="476"/>
      <c r="O6" s="58"/>
      <c r="P6" s="58"/>
      <c r="Q6" s="510">
        <v>7</v>
      </c>
      <c r="R6" s="510"/>
      <c r="S6" s="476" t="str">
        <f>U12組合せ!$D20</f>
        <v>サウス宇都宮ＳＣ</v>
      </c>
      <c r="T6" s="476"/>
      <c r="U6" s="476"/>
      <c r="V6" s="476"/>
      <c r="W6" s="476"/>
      <c r="X6" s="476"/>
      <c r="Y6" s="476"/>
      <c r="Z6" s="476"/>
      <c r="AA6" s="476"/>
      <c r="AB6" s="476"/>
      <c r="AC6" s="68"/>
      <c r="AD6" s="55"/>
      <c r="AE6" s="475"/>
      <c r="AF6" s="475"/>
      <c r="AG6" s="476"/>
      <c r="AH6" s="476"/>
      <c r="AI6" s="476"/>
      <c r="AJ6" s="476"/>
      <c r="AK6" s="476"/>
      <c r="AL6" s="476"/>
      <c r="AM6" s="476"/>
      <c r="AN6" s="476"/>
      <c r="AO6" s="476"/>
      <c r="AP6" s="476"/>
    </row>
    <row r="7" spans="1:45" ht="18" customHeight="1" x14ac:dyDescent="0.4">
      <c r="C7" s="510">
        <v>3</v>
      </c>
      <c r="D7" s="510"/>
      <c r="E7" s="476" t="str">
        <f>U12組合せ!$D16</f>
        <v>カテット白沢U11</v>
      </c>
      <c r="F7" s="476"/>
      <c r="G7" s="476"/>
      <c r="H7" s="476"/>
      <c r="I7" s="476"/>
      <c r="J7" s="476"/>
      <c r="K7" s="476"/>
      <c r="L7" s="476"/>
      <c r="M7" s="476"/>
      <c r="N7" s="476"/>
      <c r="O7" s="58"/>
      <c r="P7" s="58"/>
      <c r="Q7" s="510">
        <v>8</v>
      </c>
      <c r="R7" s="510"/>
      <c r="S7" s="476" t="str">
        <f>U12組合せ!$D21</f>
        <v>ブラッドレスＳＳ</v>
      </c>
      <c r="T7" s="476"/>
      <c r="U7" s="476"/>
      <c r="V7" s="476"/>
      <c r="W7" s="476"/>
      <c r="X7" s="476"/>
      <c r="Y7" s="476"/>
      <c r="Z7" s="476"/>
      <c r="AA7" s="476"/>
      <c r="AB7" s="476"/>
      <c r="AC7" s="68"/>
      <c r="AD7" s="55"/>
      <c r="AE7" s="475"/>
      <c r="AF7" s="475"/>
      <c r="AG7" s="476"/>
      <c r="AH7" s="476"/>
      <c r="AI7" s="476"/>
      <c r="AJ7" s="476"/>
      <c r="AK7" s="476"/>
      <c r="AL7" s="476"/>
      <c r="AM7" s="476"/>
      <c r="AN7" s="476"/>
      <c r="AO7" s="476"/>
      <c r="AP7" s="476"/>
    </row>
    <row r="8" spans="1:45" ht="18" customHeight="1" x14ac:dyDescent="0.4">
      <c r="B8" s="57"/>
      <c r="C8" s="510">
        <v>4</v>
      </c>
      <c r="D8" s="510"/>
      <c r="E8" s="476" t="str">
        <f>U12組合せ!$D17</f>
        <v>ＦＣアリーバ</v>
      </c>
      <c r="F8" s="476"/>
      <c r="G8" s="476"/>
      <c r="H8" s="476"/>
      <c r="I8" s="476"/>
      <c r="J8" s="476"/>
      <c r="K8" s="476"/>
      <c r="L8" s="476"/>
      <c r="M8" s="476"/>
      <c r="N8" s="476"/>
      <c r="O8" s="58"/>
      <c r="P8" s="58"/>
      <c r="Q8" s="510">
        <v>9</v>
      </c>
      <c r="R8" s="510"/>
      <c r="S8" s="476" t="str">
        <f>U12組合せ!$D22</f>
        <v>泉ＦＣ宇都宮</v>
      </c>
      <c r="T8" s="476"/>
      <c r="U8" s="476"/>
      <c r="V8" s="476"/>
      <c r="W8" s="476"/>
      <c r="X8" s="476"/>
      <c r="Y8" s="476"/>
      <c r="Z8" s="476"/>
      <c r="AA8" s="476"/>
      <c r="AB8" s="476"/>
      <c r="AC8" s="68"/>
      <c r="AD8" s="58"/>
      <c r="AE8" s="475"/>
      <c r="AF8" s="475"/>
      <c r="AG8" s="476"/>
      <c r="AH8" s="476"/>
      <c r="AI8" s="476"/>
      <c r="AJ8" s="476"/>
      <c r="AK8" s="476"/>
      <c r="AL8" s="476"/>
      <c r="AM8" s="476"/>
      <c r="AN8" s="476"/>
      <c r="AO8" s="476"/>
      <c r="AP8" s="476"/>
      <c r="AQ8" s="57"/>
      <c r="AR8" s="57"/>
      <c r="AS8" s="57"/>
    </row>
    <row r="9" spans="1:45" ht="18" customHeight="1" x14ac:dyDescent="0.4">
      <c r="C9" s="510">
        <v>5</v>
      </c>
      <c r="D9" s="510"/>
      <c r="E9" s="476" t="str">
        <f>U12組合せ!$D18</f>
        <v>ｕｎｉｏｎｓｃU12</v>
      </c>
      <c r="F9" s="476"/>
      <c r="G9" s="476"/>
      <c r="H9" s="476"/>
      <c r="I9" s="476"/>
      <c r="J9" s="476"/>
      <c r="K9" s="476"/>
      <c r="L9" s="476"/>
      <c r="M9" s="476"/>
      <c r="N9" s="476"/>
      <c r="O9" s="58"/>
      <c r="P9" s="58"/>
      <c r="Q9" s="510">
        <v>10</v>
      </c>
      <c r="R9" s="510"/>
      <c r="S9" s="476" t="str">
        <f>U12組合せ!$D23</f>
        <v>昭和・戸祭ＳＣ-S</v>
      </c>
      <c r="T9" s="476"/>
      <c r="U9" s="476"/>
      <c r="V9" s="476"/>
      <c r="W9" s="476"/>
      <c r="X9" s="476"/>
      <c r="Y9" s="476"/>
      <c r="Z9" s="476"/>
      <c r="AA9" s="476"/>
      <c r="AB9" s="476"/>
      <c r="AC9" s="68"/>
      <c r="AD9" s="55"/>
      <c r="AE9" s="475"/>
      <c r="AF9" s="475"/>
      <c r="AG9" s="453"/>
      <c r="AH9" s="454"/>
      <c r="AI9" s="454"/>
      <c r="AJ9" s="454"/>
      <c r="AK9" s="454"/>
      <c r="AL9" s="454"/>
      <c r="AM9" s="454"/>
      <c r="AN9" s="454"/>
      <c r="AO9" s="454"/>
      <c r="AP9" s="455"/>
    </row>
    <row r="10" spans="1:45" ht="17.45" customHeight="1" x14ac:dyDescent="0.4">
      <c r="C10" s="103"/>
      <c r="D10" s="104"/>
      <c r="E10" s="104"/>
      <c r="F10" s="104"/>
      <c r="G10" s="104"/>
      <c r="H10" s="104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104"/>
      <c r="U10" s="57"/>
      <c r="V10" s="104"/>
      <c r="W10" s="57"/>
      <c r="X10" s="104"/>
      <c r="Y10" s="57"/>
      <c r="Z10" s="104"/>
      <c r="AA10" s="57"/>
      <c r="AB10" s="104"/>
      <c r="AC10" s="104"/>
    </row>
    <row r="11" spans="1:45" ht="21" customHeight="1" x14ac:dyDescent="0.4">
      <c r="B11" s="56" t="s">
        <v>568</v>
      </c>
    </row>
    <row r="12" spans="1:45" ht="20.25" customHeight="1" x14ac:dyDescent="0.4">
      <c r="B12" s="219"/>
      <c r="C12" s="456" t="s">
        <v>25</v>
      </c>
      <c r="D12" s="456"/>
      <c r="E12" s="456"/>
      <c r="F12" s="458" t="s">
        <v>26</v>
      </c>
      <c r="G12" s="459"/>
      <c r="H12" s="459"/>
      <c r="I12" s="459"/>
      <c r="J12" s="456" t="s">
        <v>27</v>
      </c>
      <c r="K12" s="457"/>
      <c r="L12" s="457"/>
      <c r="M12" s="457"/>
      <c r="N12" s="457"/>
      <c r="O12" s="457"/>
      <c r="P12" s="457"/>
      <c r="Q12" s="456" t="s">
        <v>570</v>
      </c>
      <c r="R12" s="456"/>
      <c r="S12" s="456"/>
      <c r="T12" s="456"/>
      <c r="U12" s="456"/>
      <c r="V12" s="456"/>
      <c r="W12" s="456"/>
      <c r="X12" s="456" t="s">
        <v>27</v>
      </c>
      <c r="Y12" s="457"/>
      <c r="Z12" s="457"/>
      <c r="AA12" s="457"/>
      <c r="AB12" s="457"/>
      <c r="AC12" s="457"/>
      <c r="AD12" s="457"/>
      <c r="AE12" s="458" t="s">
        <v>26</v>
      </c>
      <c r="AF12" s="459"/>
      <c r="AG12" s="459"/>
      <c r="AH12" s="459"/>
      <c r="AI12" s="456" t="s">
        <v>29</v>
      </c>
      <c r="AJ12" s="456"/>
      <c r="AK12" s="457"/>
      <c r="AL12" s="457"/>
      <c r="AM12" s="457"/>
      <c r="AN12" s="457"/>
      <c r="AO12" s="457"/>
      <c r="AP12" s="457"/>
    </row>
    <row r="13" spans="1:45" ht="20.100000000000001" customHeight="1" x14ac:dyDescent="0.4">
      <c r="B13" s="472">
        <v>1</v>
      </c>
      <c r="C13" s="452">
        <v>0.35416666666666669</v>
      </c>
      <c r="D13" s="452"/>
      <c r="E13" s="452"/>
      <c r="F13" s="443"/>
      <c r="G13" s="444"/>
      <c r="H13" s="444"/>
      <c r="I13" s="444"/>
      <c r="J13" s="445" t="str">
        <f>IFERROR(VLOOKUP(AR13,$C$5:$N$9,3,0),"")&amp;IFERROR(VLOOKUP(AR13,$Q$5:$AB$9,3,0),"")</f>
        <v>岡西ＦＣ</v>
      </c>
      <c r="K13" s="446"/>
      <c r="L13" s="446"/>
      <c r="M13" s="446"/>
      <c r="N13" s="446"/>
      <c r="O13" s="446"/>
      <c r="P13" s="446"/>
      <c r="Q13" s="450">
        <f>IF(OR(S13="",S14=""),"",S13+S14)</f>
        <v>0</v>
      </c>
      <c r="R13" s="450"/>
      <c r="S13" s="220">
        <v>0</v>
      </c>
      <c r="T13" s="221" t="s">
        <v>30</v>
      </c>
      <c r="U13" s="220">
        <v>2</v>
      </c>
      <c r="V13" s="450">
        <f>IF(OR(U13="",U14=""),"",U13+U14)</f>
        <v>2</v>
      </c>
      <c r="W13" s="450"/>
      <c r="X13" s="447" t="str">
        <f>IFERROR(VLOOKUP(AS13,$C$5:$N$9,3,0),"")&amp;IFERROR(VLOOKUP(AS13,$Q$5:$AB$9,3,0),"")</f>
        <v>国本ＪＳＣ</v>
      </c>
      <c r="Y13" s="448"/>
      <c r="Z13" s="448"/>
      <c r="AA13" s="448"/>
      <c r="AB13" s="448"/>
      <c r="AC13" s="448"/>
      <c r="AD13" s="448"/>
      <c r="AE13" s="443"/>
      <c r="AF13" s="444"/>
      <c r="AG13" s="444"/>
      <c r="AH13" s="444"/>
      <c r="AI13" s="450" t="str">
        <f ca="1">DBCS(INDIRECT("U12対戦スケジュール!C"&amp;(ROW()-1)/2+2))</f>
        <v>５／６／６／５</v>
      </c>
      <c r="AJ13" s="444"/>
      <c r="AK13" s="444"/>
      <c r="AL13" s="444"/>
      <c r="AM13" s="444"/>
      <c r="AN13" s="444"/>
      <c r="AO13" s="444"/>
      <c r="AP13" s="444"/>
      <c r="AR13" s="56">
        <v>1</v>
      </c>
      <c r="AS13" s="56">
        <v>2</v>
      </c>
    </row>
    <row r="14" spans="1:45" ht="20.100000000000001" customHeight="1" x14ac:dyDescent="0.4">
      <c r="B14" s="472"/>
      <c r="C14" s="452"/>
      <c r="D14" s="452"/>
      <c r="E14" s="452"/>
      <c r="F14" s="444"/>
      <c r="G14" s="444"/>
      <c r="H14" s="444"/>
      <c r="I14" s="444"/>
      <c r="J14" s="446"/>
      <c r="K14" s="446"/>
      <c r="L14" s="446"/>
      <c r="M14" s="446"/>
      <c r="N14" s="446"/>
      <c r="O14" s="446"/>
      <c r="P14" s="446"/>
      <c r="Q14" s="450"/>
      <c r="R14" s="450"/>
      <c r="S14" s="220">
        <v>0</v>
      </c>
      <c r="T14" s="221" t="s">
        <v>30</v>
      </c>
      <c r="U14" s="220">
        <v>0</v>
      </c>
      <c r="V14" s="450"/>
      <c r="W14" s="450"/>
      <c r="X14" s="448"/>
      <c r="Y14" s="448"/>
      <c r="Z14" s="448"/>
      <c r="AA14" s="448"/>
      <c r="AB14" s="448"/>
      <c r="AC14" s="448"/>
      <c r="AD14" s="448"/>
      <c r="AE14" s="444"/>
      <c r="AF14" s="444"/>
      <c r="AG14" s="444"/>
      <c r="AH14" s="444"/>
      <c r="AI14" s="444"/>
      <c r="AJ14" s="444"/>
      <c r="AK14" s="444"/>
      <c r="AL14" s="444"/>
      <c r="AM14" s="444"/>
      <c r="AN14" s="444"/>
      <c r="AO14" s="444"/>
      <c r="AP14" s="444"/>
    </row>
    <row r="15" spans="1:45" ht="20.100000000000001" customHeight="1" x14ac:dyDescent="0.4">
      <c r="B15" s="472">
        <v>2</v>
      </c>
      <c r="C15" s="452">
        <v>0.3888888888888889</v>
      </c>
      <c r="D15" s="452">
        <v>0.4375</v>
      </c>
      <c r="E15" s="452"/>
      <c r="F15" s="443"/>
      <c r="G15" s="444"/>
      <c r="H15" s="444"/>
      <c r="I15" s="444"/>
      <c r="J15" s="445" t="str">
        <f>IFERROR(VLOOKUP(AR15,$C$5:$N$9,3,0),"")&amp;IFERROR(VLOOKUP(AR15,$Q$5:$AB$9,3,0),"")</f>
        <v>ｕｎｉｏｎｓｃU12</v>
      </c>
      <c r="K15" s="446"/>
      <c r="L15" s="446"/>
      <c r="M15" s="446"/>
      <c r="N15" s="446"/>
      <c r="O15" s="446"/>
      <c r="P15" s="446"/>
      <c r="Q15" s="450">
        <f>IF(OR(S15="",S16=""),"",S15+S16)</f>
        <v>2</v>
      </c>
      <c r="R15" s="450"/>
      <c r="S15" s="220">
        <v>0</v>
      </c>
      <c r="T15" s="221" t="s">
        <v>30</v>
      </c>
      <c r="U15" s="220">
        <v>0</v>
      </c>
      <c r="V15" s="450">
        <f>IF(OR(U15="",U16=""),"",U15+U16)</f>
        <v>0</v>
      </c>
      <c r="W15" s="450"/>
      <c r="X15" s="447" t="str">
        <f>IFERROR(VLOOKUP(AS15,$C$5:$N$9,3,0),"")&amp;IFERROR(VLOOKUP(AS15,$Q$5:$AB$9,3,0),"")</f>
        <v>宝木キッカーズ</v>
      </c>
      <c r="Y15" s="448"/>
      <c r="Z15" s="448"/>
      <c r="AA15" s="448"/>
      <c r="AB15" s="448"/>
      <c r="AC15" s="448"/>
      <c r="AD15" s="448"/>
      <c r="AE15" s="443"/>
      <c r="AF15" s="444"/>
      <c r="AG15" s="444"/>
      <c r="AH15" s="444"/>
      <c r="AI15" s="450" t="str">
        <f ca="1">DBCS(INDIRECT("U12対戦スケジュール!C"&amp;(ROW()-1)/2+2))</f>
        <v>１／２／２／１</v>
      </c>
      <c r="AJ15" s="444"/>
      <c r="AK15" s="444"/>
      <c r="AL15" s="444"/>
      <c r="AM15" s="444"/>
      <c r="AN15" s="444"/>
      <c r="AO15" s="444"/>
      <c r="AP15" s="444"/>
      <c r="AR15" s="56">
        <v>5</v>
      </c>
      <c r="AS15" s="56">
        <v>6</v>
      </c>
    </row>
    <row r="16" spans="1:45" ht="20.100000000000001" customHeight="1" x14ac:dyDescent="0.4">
      <c r="B16" s="472"/>
      <c r="C16" s="452"/>
      <c r="D16" s="452"/>
      <c r="E16" s="452"/>
      <c r="F16" s="444"/>
      <c r="G16" s="444"/>
      <c r="H16" s="444"/>
      <c r="I16" s="444"/>
      <c r="J16" s="446"/>
      <c r="K16" s="446"/>
      <c r="L16" s="446"/>
      <c r="M16" s="446"/>
      <c r="N16" s="446"/>
      <c r="O16" s="446"/>
      <c r="P16" s="446"/>
      <c r="Q16" s="450"/>
      <c r="R16" s="450"/>
      <c r="S16" s="220">
        <v>2</v>
      </c>
      <c r="T16" s="221" t="s">
        <v>30</v>
      </c>
      <c r="U16" s="220">
        <v>0</v>
      </c>
      <c r="V16" s="450"/>
      <c r="W16" s="450"/>
      <c r="X16" s="448"/>
      <c r="Y16" s="448"/>
      <c r="Z16" s="448"/>
      <c r="AA16" s="448"/>
      <c r="AB16" s="448"/>
      <c r="AC16" s="448"/>
      <c r="AD16" s="448"/>
      <c r="AE16" s="444"/>
      <c r="AF16" s="444"/>
      <c r="AG16" s="444"/>
      <c r="AH16" s="444"/>
      <c r="AI16" s="444"/>
      <c r="AJ16" s="444"/>
      <c r="AK16" s="444"/>
      <c r="AL16" s="444"/>
      <c r="AM16" s="444"/>
      <c r="AN16" s="444"/>
      <c r="AO16" s="444"/>
      <c r="AP16" s="444"/>
    </row>
    <row r="17" spans="1:45" ht="20.100000000000001" customHeight="1" x14ac:dyDescent="0.4">
      <c r="B17" s="472">
        <v>3</v>
      </c>
      <c r="C17" s="452">
        <v>0.4236111111111111</v>
      </c>
      <c r="D17" s="452"/>
      <c r="E17" s="452"/>
      <c r="F17" s="443"/>
      <c r="G17" s="444"/>
      <c r="H17" s="444"/>
      <c r="I17" s="444"/>
      <c r="J17" s="445" t="str">
        <f>IFERROR(VLOOKUP(AR17,$C$5:$N$9,3,0),"")&amp;IFERROR(VLOOKUP(AR17,$Q$5:$AB$9,3,0),"")</f>
        <v>サウス宇都宮ＳＣ</v>
      </c>
      <c r="K17" s="446"/>
      <c r="L17" s="446"/>
      <c r="M17" s="446"/>
      <c r="N17" s="446"/>
      <c r="O17" s="446"/>
      <c r="P17" s="446"/>
      <c r="Q17" s="450">
        <f>IF(OR(S17="",S18=""),"",S17+S18)</f>
        <v>1</v>
      </c>
      <c r="R17" s="450"/>
      <c r="S17" s="220">
        <v>1</v>
      </c>
      <c r="T17" s="221" t="s">
        <v>30</v>
      </c>
      <c r="U17" s="220">
        <v>0</v>
      </c>
      <c r="V17" s="450">
        <f>IF(OR(U17="",U18=""),"",U17+U18)</f>
        <v>0</v>
      </c>
      <c r="W17" s="450"/>
      <c r="X17" s="447" t="str">
        <f>IFERROR(VLOOKUP(AS17,$C$5:$N$9,3,0),"")&amp;IFERROR(VLOOKUP(AS17,$Q$5:$AB$9,3,0),"")</f>
        <v>ブラッドレスＳＳ</v>
      </c>
      <c r="Y17" s="448"/>
      <c r="Z17" s="448"/>
      <c r="AA17" s="448"/>
      <c r="AB17" s="448"/>
      <c r="AC17" s="448"/>
      <c r="AD17" s="448"/>
      <c r="AE17" s="443"/>
      <c r="AF17" s="444"/>
      <c r="AG17" s="444"/>
      <c r="AH17" s="444"/>
      <c r="AI17" s="450" t="str">
        <f ca="1">DBCS(INDIRECT("U12対戦スケジュール!C"&amp;(ROW()-1)/2+2))</f>
        <v>２／３／３／２</v>
      </c>
      <c r="AJ17" s="444"/>
      <c r="AK17" s="444"/>
      <c r="AL17" s="444"/>
      <c r="AM17" s="444"/>
      <c r="AN17" s="444"/>
      <c r="AO17" s="444"/>
      <c r="AP17" s="444"/>
      <c r="AR17" s="56">
        <v>7</v>
      </c>
      <c r="AS17" s="56">
        <v>8</v>
      </c>
    </row>
    <row r="18" spans="1:45" ht="20.100000000000001" customHeight="1" x14ac:dyDescent="0.4">
      <c r="B18" s="472"/>
      <c r="C18" s="452"/>
      <c r="D18" s="452"/>
      <c r="E18" s="452"/>
      <c r="F18" s="444"/>
      <c r="G18" s="444"/>
      <c r="H18" s="444"/>
      <c r="I18" s="444"/>
      <c r="J18" s="446"/>
      <c r="K18" s="446"/>
      <c r="L18" s="446"/>
      <c r="M18" s="446"/>
      <c r="N18" s="446"/>
      <c r="O18" s="446"/>
      <c r="P18" s="446"/>
      <c r="Q18" s="450"/>
      <c r="R18" s="450"/>
      <c r="S18" s="220">
        <v>0</v>
      </c>
      <c r="T18" s="221" t="s">
        <v>30</v>
      </c>
      <c r="U18" s="220">
        <v>0</v>
      </c>
      <c r="V18" s="450"/>
      <c r="W18" s="450"/>
      <c r="X18" s="448"/>
      <c r="Y18" s="448"/>
      <c r="Z18" s="448"/>
      <c r="AA18" s="448"/>
      <c r="AB18" s="448"/>
      <c r="AC18" s="448"/>
      <c r="AD18" s="448"/>
      <c r="AE18" s="444"/>
      <c r="AF18" s="444"/>
      <c r="AG18" s="444"/>
      <c r="AH18" s="444"/>
      <c r="AI18" s="444"/>
      <c r="AJ18" s="444"/>
      <c r="AK18" s="444"/>
      <c r="AL18" s="444"/>
      <c r="AM18" s="444"/>
      <c r="AN18" s="444"/>
      <c r="AO18" s="444"/>
      <c r="AP18" s="444"/>
    </row>
    <row r="19" spans="1:45" ht="20.100000000000001" customHeight="1" x14ac:dyDescent="0.4">
      <c r="B19" s="472">
        <v>4</v>
      </c>
      <c r="C19" s="452">
        <v>0.45833333333333331</v>
      </c>
      <c r="D19" s="452">
        <v>0.4375</v>
      </c>
      <c r="E19" s="452"/>
      <c r="F19" s="443"/>
      <c r="G19" s="444"/>
      <c r="H19" s="444"/>
      <c r="I19" s="444"/>
      <c r="J19" s="445" t="str">
        <f>IFERROR(VLOOKUP(AR19,$C$5:$N$9,3,0),"")&amp;IFERROR(VLOOKUP(AR19,$Q$5:$AB$9,3,0),"")</f>
        <v>国本ＪＳＣ</v>
      </c>
      <c r="K19" s="446"/>
      <c r="L19" s="446"/>
      <c r="M19" s="446"/>
      <c r="N19" s="446"/>
      <c r="O19" s="446"/>
      <c r="P19" s="446"/>
      <c r="Q19" s="450">
        <f>IF(OR(S19="",S20=""),"",S19+S20)</f>
        <v>3</v>
      </c>
      <c r="R19" s="450"/>
      <c r="S19" s="220">
        <v>1</v>
      </c>
      <c r="T19" s="221" t="s">
        <v>30</v>
      </c>
      <c r="U19" s="220">
        <v>0</v>
      </c>
      <c r="V19" s="450">
        <f>IF(OR(U19="",U20=""),"",U19+U20)</f>
        <v>1</v>
      </c>
      <c r="W19" s="450"/>
      <c r="X19" s="447" t="str">
        <f>IFERROR(VLOOKUP(AS19,$C$5:$N$9,3,0),"")&amp;IFERROR(VLOOKUP(AS19,$Q$5:$AB$9,3,0),"")</f>
        <v>カテット白沢U11</v>
      </c>
      <c r="Y19" s="448"/>
      <c r="Z19" s="448"/>
      <c r="AA19" s="448"/>
      <c r="AB19" s="448"/>
      <c r="AC19" s="448"/>
      <c r="AD19" s="448"/>
      <c r="AE19" s="443"/>
      <c r="AF19" s="444"/>
      <c r="AG19" s="444"/>
      <c r="AH19" s="444"/>
      <c r="AI19" s="450" t="str">
        <f ca="1">DBCS(INDIRECT("U12対戦スケジュール!C"&amp;(ROW()-1)/2+2))</f>
        <v>７／８／８／７</v>
      </c>
      <c r="AJ19" s="444"/>
      <c r="AK19" s="444"/>
      <c r="AL19" s="444"/>
      <c r="AM19" s="444"/>
      <c r="AN19" s="444"/>
      <c r="AO19" s="444"/>
      <c r="AP19" s="444"/>
      <c r="AR19" s="56">
        <v>2</v>
      </c>
      <c r="AS19" s="56">
        <v>3</v>
      </c>
    </row>
    <row r="20" spans="1:45" ht="20.100000000000001" customHeight="1" x14ac:dyDescent="0.4">
      <c r="B20" s="472"/>
      <c r="C20" s="452"/>
      <c r="D20" s="452"/>
      <c r="E20" s="452"/>
      <c r="F20" s="444"/>
      <c r="G20" s="444"/>
      <c r="H20" s="444"/>
      <c r="I20" s="444"/>
      <c r="J20" s="446"/>
      <c r="K20" s="446"/>
      <c r="L20" s="446"/>
      <c r="M20" s="446"/>
      <c r="N20" s="446"/>
      <c r="O20" s="446"/>
      <c r="P20" s="446"/>
      <c r="Q20" s="450"/>
      <c r="R20" s="450"/>
      <c r="S20" s="220">
        <v>2</v>
      </c>
      <c r="T20" s="221" t="s">
        <v>30</v>
      </c>
      <c r="U20" s="220">
        <v>1</v>
      </c>
      <c r="V20" s="450"/>
      <c r="W20" s="450"/>
      <c r="X20" s="448"/>
      <c r="Y20" s="448"/>
      <c r="Z20" s="448"/>
      <c r="AA20" s="448"/>
      <c r="AB20" s="448"/>
      <c r="AC20" s="448"/>
      <c r="AD20" s="448"/>
      <c r="AE20" s="444"/>
      <c r="AF20" s="444"/>
      <c r="AG20" s="444"/>
      <c r="AH20" s="444"/>
      <c r="AI20" s="444"/>
      <c r="AJ20" s="444"/>
      <c r="AK20" s="444"/>
      <c r="AL20" s="444"/>
      <c r="AM20" s="444"/>
      <c r="AN20" s="444"/>
      <c r="AO20" s="444"/>
      <c r="AP20" s="444"/>
    </row>
    <row r="21" spans="1:45" ht="20.100000000000001" customHeight="1" x14ac:dyDescent="0.4">
      <c r="B21" s="472">
        <v>5</v>
      </c>
      <c r="C21" s="452">
        <v>0.49305555555555558</v>
      </c>
      <c r="D21" s="452"/>
      <c r="E21" s="452"/>
      <c r="F21" s="443"/>
      <c r="G21" s="444"/>
      <c r="H21" s="444"/>
      <c r="I21" s="444"/>
      <c r="J21" s="445" t="str">
        <f>IFERROR(VLOOKUP(AR21,$C$5:$N$9,3,0),"")&amp;IFERROR(VLOOKUP(AR21,$Q$5:$AB$9,3,0),"")</f>
        <v>昭和・戸祭ＳＣ-S</v>
      </c>
      <c r="K21" s="446"/>
      <c r="L21" s="446"/>
      <c r="M21" s="446"/>
      <c r="N21" s="446"/>
      <c r="O21" s="446"/>
      <c r="P21" s="446"/>
      <c r="Q21" s="450">
        <f>IF(OR(S21="",S22=""),"",S21+S22)</f>
        <v>2</v>
      </c>
      <c r="R21" s="450"/>
      <c r="S21" s="220">
        <v>1</v>
      </c>
      <c r="T21" s="221" t="s">
        <v>30</v>
      </c>
      <c r="U21" s="220">
        <v>0</v>
      </c>
      <c r="V21" s="450">
        <f>IF(OR(U21="",U22=""),"",U21+U22)</f>
        <v>0</v>
      </c>
      <c r="W21" s="450"/>
      <c r="X21" s="447" t="str">
        <f>IFERROR(VLOOKUP(AS21,$C$5:$N$9,3,0),"")&amp;IFERROR(VLOOKUP(AS21,$Q$5:$AB$9,3,0),"")</f>
        <v>岡西ＦＣ</v>
      </c>
      <c r="Y21" s="448"/>
      <c r="Z21" s="448"/>
      <c r="AA21" s="448"/>
      <c r="AB21" s="448"/>
      <c r="AC21" s="448"/>
      <c r="AD21" s="448"/>
      <c r="AE21" s="443"/>
      <c r="AF21" s="444"/>
      <c r="AG21" s="444"/>
      <c r="AH21" s="444"/>
      <c r="AI21" s="450" t="str">
        <f ca="1">DBCS(INDIRECT("U12対戦スケジュール!C"&amp;(ROW()-1)/2+2))</f>
        <v>４／５／５／４</v>
      </c>
      <c r="AJ21" s="444"/>
      <c r="AK21" s="444"/>
      <c r="AL21" s="444"/>
      <c r="AM21" s="444"/>
      <c r="AN21" s="444"/>
      <c r="AO21" s="444"/>
      <c r="AP21" s="444"/>
      <c r="AR21" s="56">
        <v>10</v>
      </c>
      <c r="AS21" s="56">
        <v>1</v>
      </c>
    </row>
    <row r="22" spans="1:45" ht="20.100000000000001" customHeight="1" x14ac:dyDescent="0.4">
      <c r="B22" s="472"/>
      <c r="C22" s="452"/>
      <c r="D22" s="452"/>
      <c r="E22" s="452"/>
      <c r="F22" s="444"/>
      <c r="G22" s="444"/>
      <c r="H22" s="444"/>
      <c r="I22" s="444"/>
      <c r="J22" s="446"/>
      <c r="K22" s="446"/>
      <c r="L22" s="446"/>
      <c r="M22" s="446"/>
      <c r="N22" s="446"/>
      <c r="O22" s="446"/>
      <c r="P22" s="446"/>
      <c r="Q22" s="450"/>
      <c r="R22" s="450"/>
      <c r="S22" s="220">
        <v>1</v>
      </c>
      <c r="T22" s="221" t="s">
        <v>30</v>
      </c>
      <c r="U22" s="220">
        <v>0</v>
      </c>
      <c r="V22" s="450"/>
      <c r="W22" s="450"/>
      <c r="X22" s="448"/>
      <c r="Y22" s="448"/>
      <c r="Z22" s="448"/>
      <c r="AA22" s="448"/>
      <c r="AB22" s="448"/>
      <c r="AC22" s="448"/>
      <c r="AD22" s="448"/>
      <c r="AE22" s="444"/>
      <c r="AF22" s="444"/>
      <c r="AG22" s="444"/>
      <c r="AH22" s="444"/>
      <c r="AI22" s="444"/>
      <c r="AJ22" s="444"/>
      <c r="AK22" s="444"/>
      <c r="AL22" s="444"/>
      <c r="AM22" s="444"/>
      <c r="AN22" s="444"/>
      <c r="AO22" s="444"/>
      <c r="AP22" s="444"/>
    </row>
    <row r="23" spans="1:45" ht="20.100000000000001" customHeight="1" x14ac:dyDescent="0.4">
      <c r="B23" s="472">
        <v>6</v>
      </c>
      <c r="C23" s="452">
        <v>0.52777777777777779</v>
      </c>
      <c r="D23" s="452">
        <v>0.4375</v>
      </c>
      <c r="E23" s="452"/>
      <c r="F23" s="443"/>
      <c r="G23" s="444"/>
      <c r="H23" s="444"/>
      <c r="I23" s="444"/>
      <c r="J23" s="445" t="str">
        <f>IFERROR(VLOOKUP(AR23,$C$5:$N$9,3,0),"")&amp;IFERROR(VLOOKUP(AR23,$Q$5:$AB$9,3,0),"")</f>
        <v>ＦＣアリーバ</v>
      </c>
      <c r="K23" s="446"/>
      <c r="L23" s="446"/>
      <c r="M23" s="446"/>
      <c r="N23" s="446"/>
      <c r="O23" s="446"/>
      <c r="P23" s="446"/>
      <c r="Q23" s="450">
        <f>IF(OR(S23="",S24=""),"",S23+S24)</f>
        <v>1</v>
      </c>
      <c r="R23" s="450"/>
      <c r="S23" s="220">
        <v>0</v>
      </c>
      <c r="T23" s="221" t="s">
        <v>30</v>
      </c>
      <c r="U23" s="220">
        <v>0</v>
      </c>
      <c r="V23" s="450">
        <f>IF(OR(U23="",U24=""),"",U23+U24)</f>
        <v>0</v>
      </c>
      <c r="W23" s="450"/>
      <c r="X23" s="447" t="str">
        <f>IFERROR(VLOOKUP(AS23,$C$5:$N$9,3,0),"")&amp;IFERROR(VLOOKUP(AS23,$Q$5:$AB$9,3,0),"")</f>
        <v>ｕｎｉｏｎｓｃU12</v>
      </c>
      <c r="Y23" s="448"/>
      <c r="Z23" s="448"/>
      <c r="AA23" s="448"/>
      <c r="AB23" s="448"/>
      <c r="AC23" s="448"/>
      <c r="AD23" s="448"/>
      <c r="AE23" s="443"/>
      <c r="AF23" s="444"/>
      <c r="AG23" s="444"/>
      <c r="AH23" s="444"/>
      <c r="AI23" s="450" t="str">
        <f ca="1">DBCS(INDIRECT("U12対戦スケジュール!C"&amp;(ROW()-1)/2+2))</f>
        <v>８／９／９／８</v>
      </c>
      <c r="AJ23" s="444"/>
      <c r="AK23" s="444"/>
      <c r="AL23" s="444"/>
      <c r="AM23" s="444"/>
      <c r="AN23" s="444"/>
      <c r="AO23" s="444"/>
      <c r="AP23" s="444"/>
      <c r="AR23" s="56">
        <v>4</v>
      </c>
      <c r="AS23" s="56">
        <v>5</v>
      </c>
    </row>
    <row r="24" spans="1:45" ht="20.100000000000001" customHeight="1" x14ac:dyDescent="0.4">
      <c r="B24" s="472"/>
      <c r="C24" s="452"/>
      <c r="D24" s="452"/>
      <c r="E24" s="452"/>
      <c r="F24" s="444"/>
      <c r="G24" s="444"/>
      <c r="H24" s="444"/>
      <c r="I24" s="444"/>
      <c r="J24" s="446"/>
      <c r="K24" s="446"/>
      <c r="L24" s="446"/>
      <c r="M24" s="446"/>
      <c r="N24" s="446"/>
      <c r="O24" s="446"/>
      <c r="P24" s="446"/>
      <c r="Q24" s="450"/>
      <c r="R24" s="450"/>
      <c r="S24" s="220">
        <v>1</v>
      </c>
      <c r="T24" s="221" t="s">
        <v>30</v>
      </c>
      <c r="U24" s="220">
        <v>0</v>
      </c>
      <c r="V24" s="450"/>
      <c r="W24" s="450"/>
      <c r="X24" s="448"/>
      <c r="Y24" s="448"/>
      <c r="Z24" s="448"/>
      <c r="AA24" s="448"/>
      <c r="AB24" s="448"/>
      <c r="AC24" s="448"/>
      <c r="AD24" s="448"/>
      <c r="AE24" s="444"/>
      <c r="AF24" s="444"/>
      <c r="AG24" s="444"/>
      <c r="AH24" s="444"/>
      <c r="AI24" s="444"/>
      <c r="AJ24" s="444"/>
      <c r="AK24" s="444"/>
      <c r="AL24" s="444"/>
      <c r="AM24" s="444"/>
      <c r="AN24" s="444"/>
      <c r="AO24" s="444"/>
      <c r="AP24" s="444"/>
    </row>
    <row r="25" spans="1:45" ht="20.100000000000001" customHeight="1" x14ac:dyDescent="0.4">
      <c r="B25" s="472">
        <v>7</v>
      </c>
      <c r="C25" s="452">
        <v>0.5625</v>
      </c>
      <c r="D25" s="452">
        <v>0.4375</v>
      </c>
      <c r="E25" s="452"/>
      <c r="F25" s="443"/>
      <c r="G25" s="444"/>
      <c r="H25" s="444"/>
      <c r="I25" s="444"/>
      <c r="J25" s="445" t="str">
        <f>IFERROR(VLOOKUP(AR25,$C$5:$N$9,3,0),"")&amp;IFERROR(VLOOKUP(AR25,$Q$5:$AB$9,3,0),"")</f>
        <v>ブラッドレスＳＳ</v>
      </c>
      <c r="K25" s="446"/>
      <c r="L25" s="446"/>
      <c r="M25" s="446"/>
      <c r="N25" s="446"/>
      <c r="O25" s="446"/>
      <c r="P25" s="446"/>
      <c r="Q25" s="450">
        <f>IF(OR(S25="",S26=""),"",S25+S26)</f>
        <v>0</v>
      </c>
      <c r="R25" s="450"/>
      <c r="S25" s="220">
        <v>0</v>
      </c>
      <c r="T25" s="221" t="s">
        <v>30</v>
      </c>
      <c r="U25" s="220">
        <v>0</v>
      </c>
      <c r="V25" s="450">
        <f>IF(OR(U25="",U26=""),"",U25+U26)</f>
        <v>0</v>
      </c>
      <c r="W25" s="450"/>
      <c r="X25" s="447" t="str">
        <f>IFERROR(VLOOKUP(AS25,$C$5:$N$9,3,0),"")&amp;IFERROR(VLOOKUP(AS25,$Q$5:$AB$9,3,0),"")</f>
        <v>泉ＦＣ宇都宮</v>
      </c>
      <c r="Y25" s="448"/>
      <c r="Z25" s="448"/>
      <c r="AA25" s="448"/>
      <c r="AB25" s="448"/>
      <c r="AC25" s="448"/>
      <c r="AD25" s="448"/>
      <c r="AE25" s="443"/>
      <c r="AF25" s="444"/>
      <c r="AG25" s="444"/>
      <c r="AH25" s="444"/>
      <c r="AI25" s="450" t="str">
        <f ca="1">DBCS(INDIRECT("U12対戦スケジュール!C"&amp;(ROW()-1)/2+2))</f>
        <v>１０／１／１／１０</v>
      </c>
      <c r="AJ25" s="444"/>
      <c r="AK25" s="444"/>
      <c r="AL25" s="444"/>
      <c r="AM25" s="444"/>
      <c r="AN25" s="444"/>
      <c r="AO25" s="444"/>
      <c r="AP25" s="444"/>
      <c r="AR25" s="56">
        <v>8</v>
      </c>
      <c r="AS25" s="56">
        <v>9</v>
      </c>
    </row>
    <row r="26" spans="1:45" ht="20.100000000000001" customHeight="1" x14ac:dyDescent="0.4">
      <c r="B26" s="472"/>
      <c r="C26" s="452"/>
      <c r="D26" s="452"/>
      <c r="E26" s="452"/>
      <c r="F26" s="444"/>
      <c r="G26" s="444"/>
      <c r="H26" s="444"/>
      <c r="I26" s="444"/>
      <c r="J26" s="446"/>
      <c r="K26" s="446"/>
      <c r="L26" s="446"/>
      <c r="M26" s="446"/>
      <c r="N26" s="446"/>
      <c r="O26" s="446"/>
      <c r="P26" s="446"/>
      <c r="Q26" s="450"/>
      <c r="R26" s="450"/>
      <c r="S26" s="220">
        <v>0</v>
      </c>
      <c r="T26" s="221" t="s">
        <v>30</v>
      </c>
      <c r="U26" s="220">
        <v>0</v>
      </c>
      <c r="V26" s="450"/>
      <c r="W26" s="450"/>
      <c r="X26" s="448"/>
      <c r="Y26" s="448"/>
      <c r="Z26" s="448"/>
      <c r="AA26" s="448"/>
      <c r="AB26" s="448"/>
      <c r="AC26" s="448"/>
      <c r="AD26" s="448"/>
      <c r="AE26" s="444"/>
      <c r="AF26" s="444"/>
      <c r="AG26" s="444"/>
      <c r="AH26" s="444"/>
      <c r="AI26" s="444"/>
      <c r="AJ26" s="444"/>
      <c r="AK26" s="444"/>
      <c r="AL26" s="444"/>
      <c r="AM26" s="444"/>
      <c r="AN26" s="444"/>
      <c r="AO26" s="444"/>
      <c r="AP26" s="444"/>
    </row>
    <row r="27" spans="1:45" s="55" customFormat="1" ht="15.75" customHeight="1" x14ac:dyDescent="0.4">
      <c r="A27" s="58"/>
      <c r="B27" s="59"/>
      <c r="C27" s="60"/>
      <c r="D27" s="60"/>
      <c r="E27" s="60"/>
      <c r="F27" s="59"/>
      <c r="G27" s="59"/>
      <c r="H27" s="59"/>
      <c r="I27" s="59"/>
      <c r="J27" s="59"/>
      <c r="K27" s="61"/>
      <c r="L27" s="61"/>
      <c r="M27" s="62"/>
      <c r="N27" s="63"/>
      <c r="O27" s="62"/>
      <c r="P27" s="61"/>
      <c r="Q27" s="61"/>
      <c r="R27" s="59"/>
      <c r="S27" s="59"/>
      <c r="T27" s="59"/>
      <c r="U27" s="59"/>
      <c r="V27" s="59"/>
      <c r="W27" s="66"/>
      <c r="X27" s="66"/>
      <c r="Y27" s="66"/>
      <c r="Z27" s="66"/>
      <c r="AA27" s="66"/>
      <c r="AB27" s="66"/>
      <c r="AC27" s="58"/>
    </row>
    <row r="28" spans="1:45" ht="20.25" customHeight="1" x14ac:dyDescent="0.4">
      <c r="D28" s="477" t="s">
        <v>31</v>
      </c>
      <c r="E28" s="477"/>
      <c r="F28" s="477"/>
      <c r="G28" s="477"/>
      <c r="H28" s="477"/>
      <c r="I28" s="477"/>
      <c r="J28" s="477" t="s">
        <v>27</v>
      </c>
      <c r="K28" s="477"/>
      <c r="L28" s="477"/>
      <c r="M28" s="477"/>
      <c r="N28" s="477"/>
      <c r="O28" s="477"/>
      <c r="P28" s="477"/>
      <c r="Q28" s="477"/>
      <c r="R28" s="478" t="s">
        <v>32</v>
      </c>
      <c r="S28" s="478"/>
      <c r="T28" s="478"/>
      <c r="U28" s="478"/>
      <c r="V28" s="478"/>
      <c r="W28" s="478"/>
      <c r="X28" s="478"/>
      <c r="Y28" s="478"/>
      <c r="Z28" s="478"/>
      <c r="AA28" s="479" t="s">
        <v>33</v>
      </c>
      <c r="AB28" s="479"/>
      <c r="AC28" s="479"/>
      <c r="AD28" s="479" t="s">
        <v>34</v>
      </c>
      <c r="AE28" s="479"/>
      <c r="AF28" s="479"/>
      <c r="AG28" s="479"/>
      <c r="AH28" s="479"/>
      <c r="AI28" s="479"/>
      <c r="AJ28" s="479"/>
      <c r="AK28" s="479"/>
      <c r="AL28" s="479"/>
      <c r="AM28" s="479"/>
    </row>
    <row r="29" spans="1:45" ht="30" customHeight="1" x14ac:dyDescent="0.4">
      <c r="D29" s="477" t="s">
        <v>35</v>
      </c>
      <c r="E29" s="477"/>
      <c r="F29" s="477"/>
      <c r="G29" s="477"/>
      <c r="H29" s="477"/>
      <c r="I29" s="477"/>
      <c r="J29" s="477"/>
      <c r="K29" s="477"/>
      <c r="L29" s="477"/>
      <c r="M29" s="477"/>
      <c r="N29" s="477"/>
      <c r="O29" s="477"/>
      <c r="P29" s="477"/>
      <c r="Q29" s="477"/>
      <c r="R29" s="478"/>
      <c r="S29" s="478"/>
      <c r="T29" s="478"/>
      <c r="U29" s="478"/>
      <c r="V29" s="478"/>
      <c r="W29" s="478"/>
      <c r="X29" s="478"/>
      <c r="Y29" s="478"/>
      <c r="Z29" s="478"/>
      <c r="AA29" s="481"/>
      <c r="AB29" s="481"/>
      <c r="AC29" s="481"/>
      <c r="AD29" s="480"/>
      <c r="AE29" s="480"/>
      <c r="AF29" s="480"/>
      <c r="AG29" s="480"/>
      <c r="AH29" s="480"/>
      <c r="AI29" s="480"/>
      <c r="AJ29" s="480"/>
      <c r="AK29" s="480"/>
      <c r="AL29" s="480"/>
      <c r="AM29" s="480"/>
    </row>
    <row r="30" spans="1:45" ht="30" customHeight="1" x14ac:dyDescent="0.4">
      <c r="D30" s="477" t="s">
        <v>35</v>
      </c>
      <c r="E30" s="477"/>
      <c r="F30" s="477"/>
      <c r="G30" s="477"/>
      <c r="H30" s="477"/>
      <c r="I30" s="477"/>
      <c r="J30" s="477"/>
      <c r="K30" s="477"/>
      <c r="L30" s="477"/>
      <c r="M30" s="477"/>
      <c r="N30" s="477"/>
      <c r="O30" s="477"/>
      <c r="P30" s="477"/>
      <c r="Q30" s="477"/>
      <c r="R30" s="478"/>
      <c r="S30" s="478"/>
      <c r="T30" s="478"/>
      <c r="U30" s="478"/>
      <c r="V30" s="478"/>
      <c r="W30" s="478"/>
      <c r="X30" s="478"/>
      <c r="Y30" s="478"/>
      <c r="Z30" s="478"/>
      <c r="AA30" s="479"/>
      <c r="AB30" s="479"/>
      <c r="AC30" s="479"/>
      <c r="AD30" s="480"/>
      <c r="AE30" s="480"/>
      <c r="AF30" s="480"/>
      <c r="AG30" s="480"/>
      <c r="AH30" s="480"/>
      <c r="AI30" s="480"/>
      <c r="AJ30" s="480"/>
      <c r="AK30" s="480"/>
      <c r="AL30" s="480"/>
      <c r="AM30" s="480"/>
    </row>
    <row r="31" spans="1:45" ht="30" customHeight="1" x14ac:dyDescent="0.4">
      <c r="D31" s="477" t="s">
        <v>35</v>
      </c>
      <c r="E31" s="477"/>
      <c r="F31" s="477"/>
      <c r="G31" s="477"/>
      <c r="H31" s="477"/>
      <c r="I31" s="477"/>
      <c r="J31" s="477"/>
      <c r="K31" s="477"/>
      <c r="L31" s="477"/>
      <c r="M31" s="477"/>
      <c r="N31" s="477"/>
      <c r="O31" s="477"/>
      <c r="P31" s="477"/>
      <c r="Q31" s="477"/>
      <c r="R31" s="478"/>
      <c r="S31" s="478"/>
      <c r="T31" s="478"/>
      <c r="U31" s="478"/>
      <c r="V31" s="478"/>
      <c r="W31" s="478"/>
      <c r="X31" s="478"/>
      <c r="Y31" s="478"/>
      <c r="Z31" s="478"/>
      <c r="AA31" s="479"/>
      <c r="AB31" s="479"/>
      <c r="AC31" s="479"/>
      <c r="AD31" s="480"/>
      <c r="AE31" s="480"/>
      <c r="AF31" s="480"/>
      <c r="AG31" s="480"/>
      <c r="AH31" s="480"/>
      <c r="AI31" s="480"/>
      <c r="AJ31" s="480"/>
      <c r="AK31" s="480"/>
      <c r="AL31" s="480"/>
      <c r="AM31" s="480"/>
    </row>
    <row r="32" spans="1:45" ht="14.25" customHeight="1" x14ac:dyDescent="0.4">
      <c r="A32" s="451" t="s">
        <v>552</v>
      </c>
      <c r="B32" s="451"/>
      <c r="C32" s="451"/>
      <c r="D32" s="451"/>
      <c r="E32" s="451"/>
      <c r="F32" s="451"/>
      <c r="G32" s="451"/>
      <c r="H32" s="451"/>
      <c r="I32" s="451"/>
      <c r="J32" s="451"/>
      <c r="K32" s="451"/>
      <c r="L32" s="451"/>
      <c r="M32" s="451"/>
      <c r="N32" s="451"/>
      <c r="O32" s="451"/>
      <c r="P32" s="451"/>
      <c r="Q32" s="451"/>
      <c r="R32" s="451"/>
      <c r="S32" s="451"/>
      <c r="T32" s="451"/>
      <c r="U32" s="451"/>
      <c r="V32" s="451"/>
      <c r="W32" s="451"/>
      <c r="X32" s="451"/>
      <c r="Y32" s="451"/>
      <c r="Z32" s="451"/>
      <c r="AA32" s="451"/>
      <c r="AB32" s="451"/>
      <c r="AC32" s="451"/>
      <c r="AD32" s="451"/>
      <c r="AE32" s="451"/>
      <c r="AF32" s="451"/>
      <c r="AG32" s="451"/>
      <c r="AH32" s="451"/>
      <c r="AI32" s="451"/>
      <c r="AJ32" s="451"/>
      <c r="AK32" s="451"/>
      <c r="AL32" s="451"/>
      <c r="AM32" s="451"/>
      <c r="AN32" s="451"/>
      <c r="AO32" s="451"/>
      <c r="AP32" s="451"/>
      <c r="AQ32" s="451"/>
      <c r="AR32" s="136"/>
      <c r="AS32" s="136"/>
    </row>
    <row r="33" spans="1:45" ht="14.25" customHeight="1" x14ac:dyDescent="0.4">
      <c r="A33" s="451"/>
      <c r="B33" s="451"/>
      <c r="C33" s="451"/>
      <c r="D33" s="451"/>
      <c r="E33" s="451"/>
      <c r="F33" s="451"/>
      <c r="G33" s="451"/>
      <c r="H33" s="451"/>
      <c r="I33" s="451"/>
      <c r="J33" s="451"/>
      <c r="K33" s="451"/>
      <c r="L33" s="451"/>
      <c r="M33" s="451"/>
      <c r="N33" s="451"/>
      <c r="O33" s="451"/>
      <c r="P33" s="451"/>
      <c r="Q33" s="451"/>
      <c r="R33" s="451"/>
      <c r="S33" s="451"/>
      <c r="T33" s="451"/>
      <c r="U33" s="451"/>
      <c r="V33" s="451"/>
      <c r="W33" s="451"/>
      <c r="X33" s="451"/>
      <c r="Y33" s="451"/>
      <c r="Z33" s="451"/>
      <c r="AA33" s="451"/>
      <c r="AB33" s="451"/>
      <c r="AC33" s="451"/>
      <c r="AD33" s="451"/>
      <c r="AE33" s="451"/>
      <c r="AF33" s="451"/>
      <c r="AG33" s="451"/>
      <c r="AH33" s="451"/>
      <c r="AI33" s="451"/>
      <c r="AJ33" s="451"/>
      <c r="AK33" s="451"/>
      <c r="AL33" s="451"/>
      <c r="AM33" s="451"/>
      <c r="AN33" s="451"/>
      <c r="AO33" s="451"/>
      <c r="AP33" s="451"/>
      <c r="AQ33" s="451"/>
      <c r="AR33" s="136"/>
      <c r="AS33" s="136"/>
    </row>
    <row r="34" spans="1:45" ht="27.75" customHeight="1" x14ac:dyDescent="0.4">
      <c r="C34" s="460" t="s">
        <v>8</v>
      </c>
      <c r="D34" s="460"/>
      <c r="E34" s="460"/>
      <c r="F34" s="460"/>
      <c r="G34" s="461" t="str">
        <f>U12対戦スケジュール!B28</f>
        <v>グリーンパーク白沢 Ａ</v>
      </c>
      <c r="H34" s="509"/>
      <c r="I34" s="509"/>
      <c r="J34" s="509"/>
      <c r="K34" s="509"/>
      <c r="L34" s="509"/>
      <c r="M34" s="509"/>
      <c r="N34" s="509"/>
      <c r="O34" s="509"/>
      <c r="P34" s="460" t="s">
        <v>0</v>
      </c>
      <c r="Q34" s="460"/>
      <c r="R34" s="460"/>
      <c r="S34" s="460"/>
      <c r="T34" s="460" t="str">
        <f>U12対戦スケジュール!B29</f>
        <v>サウス宇都宮ＳＣ</v>
      </c>
      <c r="U34" s="460"/>
      <c r="V34" s="460"/>
      <c r="W34" s="460"/>
      <c r="X34" s="460"/>
      <c r="Y34" s="460"/>
      <c r="Z34" s="460"/>
      <c r="AA34" s="460"/>
      <c r="AB34" s="460"/>
      <c r="AC34" s="460" t="s">
        <v>9</v>
      </c>
      <c r="AD34" s="460"/>
      <c r="AE34" s="460"/>
      <c r="AF34" s="460"/>
      <c r="AG34" s="484">
        <f>U12組合せ!$B32</f>
        <v>43737</v>
      </c>
      <c r="AH34" s="485"/>
      <c r="AI34" s="485"/>
      <c r="AJ34" s="485"/>
      <c r="AK34" s="485"/>
      <c r="AL34" s="485"/>
      <c r="AM34" s="488" t="str">
        <f>"（"&amp;TEXT(AG34,"aaa")&amp;"）"</f>
        <v>（日）</v>
      </c>
      <c r="AN34" s="488"/>
      <c r="AO34" s="489"/>
    </row>
    <row r="35" spans="1:45" ht="15" customHeight="1" x14ac:dyDescent="0.4"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64"/>
      <c r="X35" s="64"/>
      <c r="Y35" s="64"/>
      <c r="Z35" s="64"/>
      <c r="AA35" s="64"/>
      <c r="AB35" s="64"/>
      <c r="AC35" s="64"/>
    </row>
    <row r="36" spans="1:45" ht="18" customHeight="1" x14ac:dyDescent="0.4">
      <c r="C36" s="475">
        <v>1</v>
      </c>
      <c r="D36" s="475"/>
      <c r="E36" s="476" t="str">
        <f>U12組合せ!$D14</f>
        <v>岡西ＦＣ</v>
      </c>
      <c r="F36" s="476"/>
      <c r="G36" s="476"/>
      <c r="H36" s="476"/>
      <c r="I36" s="476"/>
      <c r="J36" s="476"/>
      <c r="K36" s="476"/>
      <c r="L36" s="476"/>
      <c r="M36" s="476"/>
      <c r="N36" s="476"/>
      <c r="O36" s="58"/>
      <c r="P36" s="58"/>
      <c r="Q36" s="475">
        <v>6</v>
      </c>
      <c r="R36" s="475"/>
      <c r="S36" s="476" t="str">
        <f>U12組合せ!$D19</f>
        <v>宝木キッカーズ</v>
      </c>
      <c r="T36" s="476"/>
      <c r="U36" s="476"/>
      <c r="V36" s="476"/>
      <c r="W36" s="476"/>
      <c r="X36" s="476"/>
      <c r="Y36" s="476"/>
      <c r="Z36" s="476"/>
      <c r="AA36" s="476"/>
      <c r="AB36" s="476"/>
      <c r="AC36" s="68"/>
      <c r="AD36" s="55"/>
      <c r="AE36" s="475"/>
      <c r="AF36" s="475"/>
      <c r="AG36" s="476"/>
      <c r="AH36" s="476"/>
      <c r="AI36" s="476"/>
      <c r="AJ36" s="476"/>
      <c r="AK36" s="476"/>
      <c r="AL36" s="476"/>
      <c r="AM36" s="476"/>
      <c r="AN36" s="476"/>
      <c r="AO36" s="476"/>
      <c r="AP36" s="476"/>
    </row>
    <row r="37" spans="1:45" ht="18" customHeight="1" x14ac:dyDescent="0.4">
      <c r="C37" s="475">
        <v>2</v>
      </c>
      <c r="D37" s="475"/>
      <c r="E37" s="476" t="str">
        <f>U12組合せ!$D15</f>
        <v>国本ＪＳＣ</v>
      </c>
      <c r="F37" s="476"/>
      <c r="G37" s="476"/>
      <c r="H37" s="476"/>
      <c r="I37" s="476"/>
      <c r="J37" s="476"/>
      <c r="K37" s="476"/>
      <c r="L37" s="476"/>
      <c r="M37" s="476"/>
      <c r="N37" s="476"/>
      <c r="O37" s="58"/>
      <c r="P37" s="58"/>
      <c r="Q37" s="475">
        <v>7</v>
      </c>
      <c r="R37" s="475"/>
      <c r="S37" s="476" t="str">
        <f>U12組合せ!$D20</f>
        <v>サウス宇都宮ＳＣ</v>
      </c>
      <c r="T37" s="476"/>
      <c r="U37" s="476"/>
      <c r="V37" s="476"/>
      <c r="W37" s="476"/>
      <c r="X37" s="476"/>
      <c r="Y37" s="476"/>
      <c r="Z37" s="476"/>
      <c r="AA37" s="476"/>
      <c r="AB37" s="476"/>
      <c r="AC37" s="68"/>
      <c r="AD37" s="55"/>
      <c r="AE37" s="475"/>
      <c r="AF37" s="475"/>
      <c r="AG37" s="476"/>
      <c r="AH37" s="476"/>
      <c r="AI37" s="476"/>
      <c r="AJ37" s="476"/>
      <c r="AK37" s="476"/>
      <c r="AL37" s="476"/>
      <c r="AM37" s="476"/>
      <c r="AN37" s="476"/>
      <c r="AO37" s="476"/>
      <c r="AP37" s="476"/>
    </row>
    <row r="38" spans="1:45" ht="18" customHeight="1" x14ac:dyDescent="0.4">
      <c r="C38" s="475">
        <v>3</v>
      </c>
      <c r="D38" s="475"/>
      <c r="E38" s="476" t="str">
        <f>U12組合せ!$D16</f>
        <v>カテット白沢U11</v>
      </c>
      <c r="F38" s="476"/>
      <c r="G38" s="476"/>
      <c r="H38" s="476"/>
      <c r="I38" s="476"/>
      <c r="J38" s="476"/>
      <c r="K38" s="476"/>
      <c r="L38" s="476"/>
      <c r="M38" s="476"/>
      <c r="N38" s="476"/>
      <c r="O38" s="58"/>
      <c r="P38" s="58"/>
      <c r="Q38" s="475">
        <v>8</v>
      </c>
      <c r="R38" s="475"/>
      <c r="S38" s="476" t="str">
        <f>U12組合せ!$D21</f>
        <v>ブラッドレスＳＳ</v>
      </c>
      <c r="T38" s="476"/>
      <c r="U38" s="476"/>
      <c r="V38" s="476"/>
      <c r="W38" s="476"/>
      <c r="X38" s="476"/>
      <c r="Y38" s="476"/>
      <c r="Z38" s="476"/>
      <c r="AA38" s="476"/>
      <c r="AB38" s="476"/>
      <c r="AC38" s="68"/>
      <c r="AD38" s="55"/>
      <c r="AE38" s="475"/>
      <c r="AF38" s="475"/>
      <c r="AG38" s="476"/>
      <c r="AH38" s="476"/>
      <c r="AI38" s="476"/>
      <c r="AJ38" s="476"/>
      <c r="AK38" s="476"/>
      <c r="AL38" s="476"/>
      <c r="AM38" s="476"/>
      <c r="AN38" s="476"/>
      <c r="AO38" s="476"/>
      <c r="AP38" s="476"/>
    </row>
    <row r="39" spans="1:45" ht="18" customHeight="1" x14ac:dyDescent="0.4">
      <c r="B39" s="57"/>
      <c r="C39" s="475">
        <v>4</v>
      </c>
      <c r="D39" s="475"/>
      <c r="E39" s="476" t="str">
        <f>U12組合せ!$D17</f>
        <v>ＦＣアリーバ</v>
      </c>
      <c r="F39" s="476"/>
      <c r="G39" s="476"/>
      <c r="H39" s="476"/>
      <c r="I39" s="476"/>
      <c r="J39" s="476"/>
      <c r="K39" s="476"/>
      <c r="L39" s="476"/>
      <c r="M39" s="476"/>
      <c r="N39" s="476"/>
      <c r="O39" s="58"/>
      <c r="P39" s="58"/>
      <c r="Q39" s="475">
        <v>9</v>
      </c>
      <c r="R39" s="475"/>
      <c r="S39" s="476" t="str">
        <f>U12組合せ!$D22</f>
        <v>泉ＦＣ宇都宮</v>
      </c>
      <c r="T39" s="476"/>
      <c r="U39" s="476"/>
      <c r="V39" s="476"/>
      <c r="W39" s="476"/>
      <c r="X39" s="476"/>
      <c r="Y39" s="476"/>
      <c r="Z39" s="476"/>
      <c r="AA39" s="476"/>
      <c r="AB39" s="476"/>
      <c r="AC39" s="68"/>
      <c r="AD39" s="58"/>
      <c r="AE39" s="475"/>
      <c r="AF39" s="475"/>
      <c r="AG39" s="476"/>
      <c r="AH39" s="476"/>
      <c r="AI39" s="476"/>
      <c r="AJ39" s="476"/>
      <c r="AK39" s="476"/>
      <c r="AL39" s="476"/>
      <c r="AM39" s="476"/>
      <c r="AN39" s="476"/>
      <c r="AO39" s="476"/>
      <c r="AP39" s="476"/>
      <c r="AQ39" s="57"/>
      <c r="AR39" s="57"/>
      <c r="AS39" s="57"/>
    </row>
    <row r="40" spans="1:45" ht="18" customHeight="1" x14ac:dyDescent="0.4">
      <c r="C40" s="475">
        <v>5</v>
      </c>
      <c r="D40" s="475"/>
      <c r="E40" s="476" t="str">
        <f>U12組合せ!$D18</f>
        <v>ｕｎｉｏｎｓｃU12</v>
      </c>
      <c r="F40" s="476"/>
      <c r="G40" s="476"/>
      <c r="H40" s="476"/>
      <c r="I40" s="476"/>
      <c r="J40" s="476"/>
      <c r="K40" s="476"/>
      <c r="L40" s="476"/>
      <c r="M40" s="476"/>
      <c r="N40" s="476"/>
      <c r="O40" s="58"/>
      <c r="P40" s="58"/>
      <c r="Q40" s="475">
        <v>10</v>
      </c>
      <c r="R40" s="475"/>
      <c r="S40" s="476" t="str">
        <f>U12組合せ!$D23</f>
        <v>昭和・戸祭ＳＣ-S</v>
      </c>
      <c r="T40" s="476"/>
      <c r="U40" s="476"/>
      <c r="V40" s="476"/>
      <c r="W40" s="476"/>
      <c r="X40" s="476"/>
      <c r="Y40" s="476"/>
      <c r="Z40" s="476"/>
      <c r="AA40" s="476"/>
      <c r="AB40" s="476"/>
      <c r="AC40" s="68"/>
      <c r="AD40" s="55"/>
      <c r="AE40" s="475"/>
      <c r="AF40" s="475"/>
      <c r="AG40" s="453"/>
      <c r="AH40" s="454"/>
      <c r="AI40" s="454"/>
      <c r="AJ40" s="454"/>
      <c r="AK40" s="454"/>
      <c r="AL40" s="454"/>
      <c r="AM40" s="454"/>
      <c r="AN40" s="454"/>
      <c r="AO40" s="454"/>
      <c r="AP40" s="455"/>
    </row>
    <row r="41" spans="1:45" ht="15" customHeight="1" x14ac:dyDescent="0.4">
      <c r="C41" s="103"/>
      <c r="D41" s="104"/>
      <c r="E41" s="104"/>
      <c r="F41" s="104"/>
      <c r="G41" s="104"/>
      <c r="H41" s="104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</row>
    <row r="42" spans="1:45" ht="21" customHeight="1" x14ac:dyDescent="0.4">
      <c r="B42" s="56" t="s">
        <v>568</v>
      </c>
    </row>
    <row r="43" spans="1:45" ht="20.25" customHeight="1" x14ac:dyDescent="0.4">
      <c r="B43" s="219"/>
      <c r="C43" s="456" t="s">
        <v>25</v>
      </c>
      <c r="D43" s="456"/>
      <c r="E43" s="456"/>
      <c r="F43" s="458" t="s">
        <v>26</v>
      </c>
      <c r="G43" s="459"/>
      <c r="H43" s="459"/>
      <c r="I43" s="459"/>
      <c r="J43" s="456" t="s">
        <v>27</v>
      </c>
      <c r="K43" s="457"/>
      <c r="L43" s="457"/>
      <c r="M43" s="457"/>
      <c r="N43" s="457"/>
      <c r="O43" s="457"/>
      <c r="P43" s="457"/>
      <c r="Q43" s="456" t="s">
        <v>570</v>
      </c>
      <c r="R43" s="456"/>
      <c r="S43" s="456"/>
      <c r="T43" s="456"/>
      <c r="U43" s="456"/>
      <c r="V43" s="456"/>
      <c r="W43" s="456"/>
      <c r="X43" s="456" t="s">
        <v>27</v>
      </c>
      <c r="Y43" s="457"/>
      <c r="Z43" s="457"/>
      <c r="AA43" s="457"/>
      <c r="AB43" s="457"/>
      <c r="AC43" s="457"/>
      <c r="AD43" s="457"/>
      <c r="AE43" s="458" t="s">
        <v>26</v>
      </c>
      <c r="AF43" s="459"/>
      <c r="AG43" s="459"/>
      <c r="AH43" s="459"/>
      <c r="AI43" s="456" t="s">
        <v>29</v>
      </c>
      <c r="AJ43" s="456"/>
      <c r="AK43" s="457"/>
      <c r="AL43" s="457"/>
      <c r="AM43" s="457"/>
      <c r="AN43" s="457"/>
      <c r="AO43" s="457"/>
      <c r="AP43" s="457"/>
    </row>
    <row r="44" spans="1:45" ht="20.100000000000001" customHeight="1" x14ac:dyDescent="0.4">
      <c r="B44" s="472">
        <v>1</v>
      </c>
      <c r="C44" s="452">
        <v>0.35416666666666669</v>
      </c>
      <c r="D44" s="452"/>
      <c r="E44" s="452"/>
      <c r="F44" s="443"/>
      <c r="G44" s="444"/>
      <c r="H44" s="444"/>
      <c r="I44" s="444"/>
      <c r="J44" s="445" t="str">
        <f>IFERROR(VLOOKUP(AR44,$C$36:$N$40,3,0),"")&amp;IFERROR(VLOOKUP(AR44,$Q$36:$AB$40,3,0),"")</f>
        <v>国本ＪＳＣ</v>
      </c>
      <c r="K44" s="446"/>
      <c r="L44" s="446"/>
      <c r="M44" s="446"/>
      <c r="N44" s="446"/>
      <c r="O44" s="446"/>
      <c r="P44" s="446"/>
      <c r="Q44" s="450">
        <f>IF(OR(S44="",S45=""),"",S44+S45)</f>
        <v>1</v>
      </c>
      <c r="R44" s="450"/>
      <c r="S44" s="222">
        <v>0</v>
      </c>
      <c r="T44" s="223" t="s">
        <v>30</v>
      </c>
      <c r="U44" s="222">
        <v>0</v>
      </c>
      <c r="V44" s="450">
        <f>IF(OR(U44="",U45=""),"",U44+U45)</f>
        <v>1</v>
      </c>
      <c r="W44" s="450"/>
      <c r="X44" s="447" t="str">
        <f>IFERROR(VLOOKUP(AS44,$C$36:$N$40,3,0),"")&amp;IFERROR(VLOOKUP(AS44,$Q$36:$AB$40,3,0),"")</f>
        <v>ＦＣアリーバ</v>
      </c>
      <c r="Y44" s="448"/>
      <c r="Z44" s="448"/>
      <c r="AA44" s="448"/>
      <c r="AB44" s="448"/>
      <c r="AC44" s="448"/>
      <c r="AD44" s="448"/>
      <c r="AE44" s="443"/>
      <c r="AF44" s="444"/>
      <c r="AG44" s="444"/>
      <c r="AH44" s="444"/>
      <c r="AI44" s="450" t="str">
        <f ca="1">DBCS(INDIRECT("U12対戦スケジュール!C"&amp;(ROW()/2+8)))</f>
        <v>８／１０／１０／８</v>
      </c>
      <c r="AJ44" s="444"/>
      <c r="AK44" s="444"/>
      <c r="AL44" s="444"/>
      <c r="AM44" s="444"/>
      <c r="AN44" s="444"/>
      <c r="AO44" s="444"/>
      <c r="AP44" s="444"/>
      <c r="AR44" s="56">
        <v>2</v>
      </c>
      <c r="AS44" s="56">
        <v>4</v>
      </c>
    </row>
    <row r="45" spans="1:45" ht="20.100000000000001" customHeight="1" x14ac:dyDescent="0.4">
      <c r="B45" s="472"/>
      <c r="C45" s="452"/>
      <c r="D45" s="452"/>
      <c r="E45" s="452"/>
      <c r="F45" s="444"/>
      <c r="G45" s="444"/>
      <c r="H45" s="444"/>
      <c r="I45" s="444"/>
      <c r="J45" s="446"/>
      <c r="K45" s="446"/>
      <c r="L45" s="446"/>
      <c r="M45" s="446"/>
      <c r="N45" s="446"/>
      <c r="O45" s="446"/>
      <c r="P45" s="446"/>
      <c r="Q45" s="450"/>
      <c r="R45" s="450"/>
      <c r="S45" s="222">
        <v>1</v>
      </c>
      <c r="T45" s="223" t="s">
        <v>30</v>
      </c>
      <c r="U45" s="222">
        <v>1</v>
      </c>
      <c r="V45" s="450"/>
      <c r="W45" s="450"/>
      <c r="X45" s="448"/>
      <c r="Y45" s="448"/>
      <c r="Z45" s="448"/>
      <c r="AA45" s="448"/>
      <c r="AB45" s="448"/>
      <c r="AC45" s="448"/>
      <c r="AD45" s="448"/>
      <c r="AE45" s="444"/>
      <c r="AF45" s="444"/>
      <c r="AG45" s="444"/>
      <c r="AH45" s="444"/>
      <c r="AI45" s="444"/>
      <c r="AJ45" s="444"/>
      <c r="AK45" s="444"/>
      <c r="AL45" s="444"/>
      <c r="AM45" s="444"/>
      <c r="AN45" s="444"/>
      <c r="AO45" s="444"/>
      <c r="AP45" s="444"/>
    </row>
    <row r="46" spans="1:45" ht="20.100000000000001" customHeight="1" x14ac:dyDescent="0.4">
      <c r="B46" s="472">
        <v>2</v>
      </c>
      <c r="C46" s="452">
        <v>0.3888888888888889</v>
      </c>
      <c r="D46" s="452">
        <v>0.4375</v>
      </c>
      <c r="E46" s="452"/>
      <c r="F46" s="443"/>
      <c r="G46" s="444"/>
      <c r="H46" s="444"/>
      <c r="I46" s="444"/>
      <c r="J46" s="445" t="str">
        <f>IFERROR(VLOOKUP(AR46,$C$36:$N$40,3,0),"")&amp;IFERROR(VLOOKUP(AR46,$Q$36:$AB$40,3,0),"")</f>
        <v>ブラッドレスＳＳ</v>
      </c>
      <c r="K46" s="446"/>
      <c r="L46" s="446"/>
      <c r="M46" s="446"/>
      <c r="N46" s="446"/>
      <c r="O46" s="446"/>
      <c r="P46" s="446"/>
      <c r="Q46" s="450">
        <f>IF(OR(S46="",S47=""),"",S46+S47)</f>
        <v>0</v>
      </c>
      <c r="R46" s="450"/>
      <c r="S46" s="222">
        <v>0</v>
      </c>
      <c r="T46" s="223" t="s">
        <v>30</v>
      </c>
      <c r="U46" s="222">
        <v>1</v>
      </c>
      <c r="V46" s="450">
        <f>IF(OR(U46="",U47=""),"",U46+U47)</f>
        <v>1</v>
      </c>
      <c r="W46" s="450"/>
      <c r="X46" s="447" t="str">
        <f>IFERROR(VLOOKUP(AS46,$C$36:$N$40,3,0),"")&amp;IFERROR(VLOOKUP(AS46,$Q$36:$AB$40,3,0),"")</f>
        <v>昭和・戸祭ＳＣ-S</v>
      </c>
      <c r="Y46" s="448"/>
      <c r="Z46" s="448"/>
      <c r="AA46" s="448"/>
      <c r="AB46" s="448"/>
      <c r="AC46" s="448"/>
      <c r="AD46" s="448"/>
      <c r="AE46" s="443"/>
      <c r="AF46" s="444"/>
      <c r="AG46" s="444"/>
      <c r="AH46" s="444"/>
      <c r="AI46" s="450" t="str">
        <f ca="1">DBCS(INDIRECT("U12対戦スケジュール!C"&amp;(ROW()/2+8)))</f>
        <v>２／４／４／２</v>
      </c>
      <c r="AJ46" s="444"/>
      <c r="AK46" s="444"/>
      <c r="AL46" s="444"/>
      <c r="AM46" s="444"/>
      <c r="AN46" s="444"/>
      <c r="AO46" s="444"/>
      <c r="AP46" s="444"/>
      <c r="AR46" s="56">
        <v>8</v>
      </c>
      <c r="AS46" s="56">
        <v>10</v>
      </c>
    </row>
    <row r="47" spans="1:45" ht="20.100000000000001" customHeight="1" x14ac:dyDescent="0.4">
      <c r="B47" s="472"/>
      <c r="C47" s="452"/>
      <c r="D47" s="452"/>
      <c r="E47" s="452"/>
      <c r="F47" s="444"/>
      <c r="G47" s="444"/>
      <c r="H47" s="444"/>
      <c r="I47" s="444"/>
      <c r="J47" s="446"/>
      <c r="K47" s="446"/>
      <c r="L47" s="446"/>
      <c r="M47" s="446"/>
      <c r="N47" s="446"/>
      <c r="O47" s="446"/>
      <c r="P47" s="446"/>
      <c r="Q47" s="450"/>
      <c r="R47" s="450"/>
      <c r="S47" s="222">
        <v>0</v>
      </c>
      <c r="T47" s="223" t="s">
        <v>30</v>
      </c>
      <c r="U47" s="222">
        <v>0</v>
      </c>
      <c r="V47" s="450"/>
      <c r="W47" s="450"/>
      <c r="X47" s="448"/>
      <c r="Y47" s="448"/>
      <c r="Z47" s="448"/>
      <c r="AA47" s="448"/>
      <c r="AB47" s="448"/>
      <c r="AC47" s="448"/>
      <c r="AD47" s="448"/>
      <c r="AE47" s="444"/>
      <c r="AF47" s="444"/>
      <c r="AG47" s="444"/>
      <c r="AH47" s="444"/>
      <c r="AI47" s="444"/>
      <c r="AJ47" s="444"/>
      <c r="AK47" s="444"/>
      <c r="AL47" s="444"/>
      <c r="AM47" s="444"/>
      <c r="AN47" s="444"/>
      <c r="AO47" s="444"/>
      <c r="AP47" s="444"/>
    </row>
    <row r="48" spans="1:45" ht="20.100000000000001" customHeight="1" x14ac:dyDescent="0.4">
      <c r="B48" s="472">
        <v>3</v>
      </c>
      <c r="C48" s="452">
        <v>0.4236111111111111</v>
      </c>
      <c r="D48" s="452"/>
      <c r="E48" s="452"/>
      <c r="F48" s="443"/>
      <c r="G48" s="444"/>
      <c r="H48" s="444"/>
      <c r="I48" s="444"/>
      <c r="J48" s="445" t="str">
        <f>IFERROR(VLOOKUP(AR48,$C$36:$N$40,3,0),"")&amp;IFERROR(VLOOKUP(AR48,$Q$36:$AB$40,3,0),"")</f>
        <v>岡西ＦＣ</v>
      </c>
      <c r="K48" s="446"/>
      <c r="L48" s="446"/>
      <c r="M48" s="446"/>
      <c r="N48" s="446"/>
      <c r="O48" s="446"/>
      <c r="P48" s="446"/>
      <c r="Q48" s="450">
        <f>IF(OR(S48="",S49=""),"",S48+S49)</f>
        <v>1</v>
      </c>
      <c r="R48" s="450"/>
      <c r="S48" s="222">
        <v>0</v>
      </c>
      <c r="T48" s="223" t="s">
        <v>30</v>
      </c>
      <c r="U48" s="222">
        <v>1</v>
      </c>
      <c r="V48" s="450">
        <f>IF(OR(U48="",U49=""),"",U48+U49)</f>
        <v>1</v>
      </c>
      <c r="W48" s="450"/>
      <c r="X48" s="447" t="str">
        <f>IFERROR(VLOOKUP(AS48,$C$36:$N$40,3,0),"")&amp;IFERROR(VLOOKUP(AS48,$Q$36:$AB$40,3,0),"")</f>
        <v>カテット白沢U11</v>
      </c>
      <c r="Y48" s="448"/>
      <c r="Z48" s="448"/>
      <c r="AA48" s="448"/>
      <c r="AB48" s="448"/>
      <c r="AC48" s="448"/>
      <c r="AD48" s="448"/>
      <c r="AE48" s="443"/>
      <c r="AF48" s="444"/>
      <c r="AG48" s="444"/>
      <c r="AH48" s="444"/>
      <c r="AI48" s="450" t="str">
        <f ca="1">DBCS(INDIRECT("U12対戦スケジュール!C"&amp;(ROW()/2+8)))</f>
        <v>７／９／９／７</v>
      </c>
      <c r="AJ48" s="444"/>
      <c r="AK48" s="444"/>
      <c r="AL48" s="444"/>
      <c r="AM48" s="444"/>
      <c r="AN48" s="444"/>
      <c r="AO48" s="444"/>
      <c r="AP48" s="444"/>
      <c r="AR48" s="56">
        <v>1</v>
      </c>
      <c r="AS48" s="56">
        <v>3</v>
      </c>
    </row>
    <row r="49" spans="1:45" ht="20.100000000000001" customHeight="1" x14ac:dyDescent="0.4">
      <c r="B49" s="472"/>
      <c r="C49" s="452"/>
      <c r="D49" s="452"/>
      <c r="E49" s="452"/>
      <c r="F49" s="444"/>
      <c r="G49" s="444"/>
      <c r="H49" s="444"/>
      <c r="I49" s="444"/>
      <c r="J49" s="446"/>
      <c r="K49" s="446"/>
      <c r="L49" s="446"/>
      <c r="M49" s="446"/>
      <c r="N49" s="446"/>
      <c r="O49" s="446"/>
      <c r="P49" s="446"/>
      <c r="Q49" s="450"/>
      <c r="R49" s="450"/>
      <c r="S49" s="222">
        <v>1</v>
      </c>
      <c r="T49" s="223" t="s">
        <v>30</v>
      </c>
      <c r="U49" s="222">
        <v>0</v>
      </c>
      <c r="V49" s="450"/>
      <c r="W49" s="450"/>
      <c r="X49" s="448"/>
      <c r="Y49" s="448"/>
      <c r="Z49" s="448"/>
      <c r="AA49" s="448"/>
      <c r="AB49" s="448"/>
      <c r="AC49" s="448"/>
      <c r="AD49" s="448"/>
      <c r="AE49" s="444"/>
      <c r="AF49" s="444"/>
      <c r="AG49" s="444"/>
      <c r="AH49" s="444"/>
      <c r="AI49" s="444"/>
      <c r="AJ49" s="444"/>
      <c r="AK49" s="444"/>
      <c r="AL49" s="444"/>
      <c r="AM49" s="444"/>
      <c r="AN49" s="444"/>
      <c r="AO49" s="444"/>
      <c r="AP49" s="444"/>
    </row>
    <row r="50" spans="1:45" ht="20.100000000000001" customHeight="1" x14ac:dyDescent="0.4">
      <c r="B50" s="472">
        <v>4</v>
      </c>
      <c r="C50" s="452">
        <v>0.45833333333333331</v>
      </c>
      <c r="D50" s="452">
        <v>0.4375</v>
      </c>
      <c r="E50" s="452"/>
      <c r="F50" s="443"/>
      <c r="G50" s="444"/>
      <c r="H50" s="444"/>
      <c r="I50" s="444"/>
      <c r="J50" s="445" t="str">
        <f>IFERROR(VLOOKUP(AR50,$C$36:$N$40,3,0),"")&amp;IFERROR(VLOOKUP(AR50,$Q$36:$AB$40,3,0),"")</f>
        <v>サウス宇都宮ＳＣ</v>
      </c>
      <c r="K50" s="446"/>
      <c r="L50" s="446"/>
      <c r="M50" s="446"/>
      <c r="N50" s="446"/>
      <c r="O50" s="446"/>
      <c r="P50" s="446"/>
      <c r="Q50" s="450">
        <f>IF(OR(S50="",S51=""),"",S50+S51)</f>
        <v>0</v>
      </c>
      <c r="R50" s="450"/>
      <c r="S50" s="222">
        <v>0</v>
      </c>
      <c r="T50" s="223" t="s">
        <v>30</v>
      </c>
      <c r="U50" s="222">
        <v>2</v>
      </c>
      <c r="V50" s="450">
        <f>IF(OR(U50="",U51=""),"",U50+U51)</f>
        <v>3</v>
      </c>
      <c r="W50" s="450"/>
      <c r="X50" s="447" t="str">
        <f>IFERROR(VLOOKUP(AS50,$C$36:$N$40,3,0),"")&amp;IFERROR(VLOOKUP(AS50,$Q$36:$AB$40,3,0),"")</f>
        <v>泉ＦＣ宇都宮</v>
      </c>
      <c r="Y50" s="448"/>
      <c r="Z50" s="448"/>
      <c r="AA50" s="448"/>
      <c r="AB50" s="448"/>
      <c r="AC50" s="448"/>
      <c r="AD50" s="448"/>
      <c r="AE50" s="443"/>
      <c r="AF50" s="444"/>
      <c r="AG50" s="444"/>
      <c r="AH50" s="444"/>
      <c r="AI50" s="450" t="str">
        <f ca="1">DBCS(INDIRECT("U12対戦スケジュール!C"&amp;(ROW()/2+8)))</f>
        <v>１／３／３／１</v>
      </c>
      <c r="AJ50" s="444"/>
      <c r="AK50" s="444"/>
      <c r="AL50" s="444"/>
      <c r="AM50" s="444"/>
      <c r="AN50" s="444"/>
      <c r="AO50" s="444"/>
      <c r="AP50" s="444"/>
      <c r="AR50" s="56">
        <v>7</v>
      </c>
      <c r="AS50" s="56">
        <v>9</v>
      </c>
    </row>
    <row r="51" spans="1:45" ht="20.100000000000001" customHeight="1" x14ac:dyDescent="0.4">
      <c r="B51" s="472"/>
      <c r="C51" s="452"/>
      <c r="D51" s="452"/>
      <c r="E51" s="452"/>
      <c r="F51" s="444"/>
      <c r="G51" s="444"/>
      <c r="H51" s="444"/>
      <c r="I51" s="444"/>
      <c r="J51" s="446"/>
      <c r="K51" s="446"/>
      <c r="L51" s="446"/>
      <c r="M51" s="446"/>
      <c r="N51" s="446"/>
      <c r="O51" s="446"/>
      <c r="P51" s="446"/>
      <c r="Q51" s="450"/>
      <c r="R51" s="450"/>
      <c r="S51" s="222">
        <v>0</v>
      </c>
      <c r="T51" s="223" t="s">
        <v>30</v>
      </c>
      <c r="U51" s="222">
        <v>1</v>
      </c>
      <c r="V51" s="450"/>
      <c r="W51" s="450"/>
      <c r="X51" s="448"/>
      <c r="Y51" s="448"/>
      <c r="Z51" s="448"/>
      <c r="AA51" s="448"/>
      <c r="AB51" s="448"/>
      <c r="AC51" s="448"/>
      <c r="AD51" s="448"/>
      <c r="AE51" s="444"/>
      <c r="AF51" s="444"/>
      <c r="AG51" s="444"/>
      <c r="AH51" s="444"/>
      <c r="AI51" s="444"/>
      <c r="AJ51" s="444"/>
      <c r="AK51" s="444"/>
      <c r="AL51" s="444"/>
      <c r="AM51" s="444"/>
      <c r="AN51" s="444"/>
      <c r="AO51" s="444"/>
      <c r="AP51" s="444"/>
    </row>
    <row r="52" spans="1:45" ht="20.100000000000001" customHeight="1" x14ac:dyDescent="0.4">
      <c r="B52" s="472">
        <v>5</v>
      </c>
      <c r="C52" s="452">
        <v>0.49305555555555558</v>
      </c>
      <c r="D52" s="452"/>
      <c r="E52" s="452"/>
      <c r="F52" s="443"/>
      <c r="G52" s="444"/>
      <c r="H52" s="444"/>
      <c r="I52" s="444"/>
      <c r="J52" s="445" t="str">
        <f>IFERROR(VLOOKUP(AR52,$C$36:$N$40,3,0),"")&amp;IFERROR(VLOOKUP(AR52,$Q$36:$AB$40,3,0),"")</f>
        <v>昭和・戸祭ＳＣ-S</v>
      </c>
      <c r="K52" s="446"/>
      <c r="L52" s="446"/>
      <c r="M52" s="446"/>
      <c r="N52" s="446"/>
      <c r="O52" s="446"/>
      <c r="P52" s="446"/>
      <c r="Q52" s="450">
        <f>IF(OR(S52="",S53=""),"",S52+S53)</f>
        <v>3</v>
      </c>
      <c r="R52" s="450"/>
      <c r="S52" s="222">
        <v>0</v>
      </c>
      <c r="T52" s="223" t="s">
        <v>30</v>
      </c>
      <c r="U52" s="222">
        <v>0</v>
      </c>
      <c r="V52" s="450">
        <f>IF(OR(U52="",U53=""),"",U52+U53)</f>
        <v>0</v>
      </c>
      <c r="W52" s="450"/>
      <c r="X52" s="447" t="str">
        <f>IFERROR(VLOOKUP(AS52,$C$36:$N$40,3,0),"")&amp;IFERROR(VLOOKUP(AS52,$Q$36:$AB$40,3,0),"")</f>
        <v>国本ＪＳＣ</v>
      </c>
      <c r="Y52" s="448"/>
      <c r="Z52" s="448"/>
      <c r="AA52" s="448"/>
      <c r="AB52" s="448"/>
      <c r="AC52" s="448"/>
      <c r="AD52" s="448"/>
      <c r="AE52" s="443"/>
      <c r="AF52" s="444"/>
      <c r="AG52" s="444"/>
      <c r="AH52" s="444"/>
      <c r="AI52" s="450" t="str">
        <f ca="1">DBCS(INDIRECT("U12対戦スケジュール!C"&amp;(ROW()/2+8)))</f>
        <v>６／８／８／６</v>
      </c>
      <c r="AJ52" s="444"/>
      <c r="AK52" s="444"/>
      <c r="AL52" s="444"/>
      <c r="AM52" s="444"/>
      <c r="AN52" s="444"/>
      <c r="AO52" s="444"/>
      <c r="AP52" s="444"/>
      <c r="AR52" s="56">
        <v>10</v>
      </c>
      <c r="AS52" s="56">
        <v>2</v>
      </c>
    </row>
    <row r="53" spans="1:45" ht="20.100000000000001" customHeight="1" x14ac:dyDescent="0.4">
      <c r="B53" s="472"/>
      <c r="C53" s="452"/>
      <c r="D53" s="452"/>
      <c r="E53" s="452"/>
      <c r="F53" s="444"/>
      <c r="G53" s="444"/>
      <c r="H53" s="444"/>
      <c r="I53" s="444"/>
      <c r="J53" s="446"/>
      <c r="K53" s="446"/>
      <c r="L53" s="446"/>
      <c r="M53" s="446"/>
      <c r="N53" s="446"/>
      <c r="O53" s="446"/>
      <c r="P53" s="446"/>
      <c r="Q53" s="450"/>
      <c r="R53" s="450"/>
      <c r="S53" s="222">
        <v>3</v>
      </c>
      <c r="T53" s="223" t="s">
        <v>30</v>
      </c>
      <c r="U53" s="222">
        <v>0</v>
      </c>
      <c r="V53" s="450"/>
      <c r="W53" s="450"/>
      <c r="X53" s="448"/>
      <c r="Y53" s="448"/>
      <c r="Z53" s="448"/>
      <c r="AA53" s="448"/>
      <c r="AB53" s="448"/>
      <c r="AC53" s="448"/>
      <c r="AD53" s="448"/>
      <c r="AE53" s="444"/>
      <c r="AF53" s="444"/>
      <c r="AG53" s="444"/>
      <c r="AH53" s="444"/>
      <c r="AI53" s="444"/>
      <c r="AJ53" s="444"/>
      <c r="AK53" s="444"/>
      <c r="AL53" s="444"/>
      <c r="AM53" s="444"/>
      <c r="AN53" s="444"/>
      <c r="AO53" s="444"/>
      <c r="AP53" s="444"/>
    </row>
    <row r="54" spans="1:45" ht="20.100000000000001" customHeight="1" x14ac:dyDescent="0.4">
      <c r="B54" s="472">
        <v>6</v>
      </c>
      <c r="C54" s="452">
        <v>0.52777777777777779</v>
      </c>
      <c r="D54" s="452">
        <v>0.4375</v>
      </c>
      <c r="E54" s="452"/>
      <c r="F54" s="443"/>
      <c r="G54" s="444"/>
      <c r="H54" s="444"/>
      <c r="I54" s="444"/>
      <c r="J54" s="445" t="str">
        <f>IFERROR(VLOOKUP(AR54,$C$36:$N$40,3,0),"")&amp;IFERROR(VLOOKUP(AR54,$Q$36:$AB$40,3,0),"")</f>
        <v>宝木キッカーズ</v>
      </c>
      <c r="K54" s="446"/>
      <c r="L54" s="446"/>
      <c r="M54" s="446"/>
      <c r="N54" s="446"/>
      <c r="O54" s="446"/>
      <c r="P54" s="446"/>
      <c r="Q54" s="450">
        <f>IF(OR(S54="",S55=""),"",S54+S55)</f>
        <v>3</v>
      </c>
      <c r="R54" s="450"/>
      <c r="S54" s="222">
        <v>0</v>
      </c>
      <c r="T54" s="223" t="s">
        <v>30</v>
      </c>
      <c r="U54" s="222">
        <v>3</v>
      </c>
      <c r="V54" s="450">
        <f>IF(OR(U54="",U55=""),"",U54+U55)</f>
        <v>3</v>
      </c>
      <c r="W54" s="450"/>
      <c r="X54" s="447" t="str">
        <f>IFERROR(VLOOKUP(AS54,$C$36:$N$40,3,0),"")&amp;IFERROR(VLOOKUP(AS54,$Q$36:$AB$40,3,0),"")</f>
        <v>ブラッドレスＳＳ</v>
      </c>
      <c r="Y54" s="448"/>
      <c r="Z54" s="448"/>
      <c r="AA54" s="448"/>
      <c r="AB54" s="448"/>
      <c r="AC54" s="448"/>
      <c r="AD54" s="448"/>
      <c r="AE54" s="443"/>
      <c r="AF54" s="444"/>
      <c r="AG54" s="444"/>
      <c r="AH54" s="444"/>
      <c r="AI54" s="450" t="str">
        <f ca="1">DBCS(INDIRECT("U12対戦スケジュール!C"&amp;(ROW()/2+8)))</f>
        <v>９／１／１／９</v>
      </c>
      <c r="AJ54" s="444"/>
      <c r="AK54" s="444"/>
      <c r="AL54" s="444"/>
      <c r="AM54" s="444"/>
      <c r="AN54" s="444"/>
      <c r="AO54" s="444"/>
      <c r="AP54" s="444"/>
      <c r="AR54" s="56">
        <v>6</v>
      </c>
      <c r="AS54" s="56">
        <v>8</v>
      </c>
    </row>
    <row r="55" spans="1:45" ht="20.100000000000001" customHeight="1" x14ac:dyDescent="0.4">
      <c r="B55" s="472"/>
      <c r="C55" s="452"/>
      <c r="D55" s="452"/>
      <c r="E55" s="452"/>
      <c r="F55" s="444"/>
      <c r="G55" s="444"/>
      <c r="H55" s="444"/>
      <c r="I55" s="444"/>
      <c r="J55" s="446"/>
      <c r="K55" s="446"/>
      <c r="L55" s="446"/>
      <c r="M55" s="446"/>
      <c r="N55" s="446"/>
      <c r="O55" s="446"/>
      <c r="P55" s="446"/>
      <c r="Q55" s="450"/>
      <c r="R55" s="450"/>
      <c r="S55" s="222">
        <v>3</v>
      </c>
      <c r="T55" s="223" t="s">
        <v>30</v>
      </c>
      <c r="U55" s="222">
        <v>0</v>
      </c>
      <c r="V55" s="450"/>
      <c r="W55" s="450"/>
      <c r="X55" s="448"/>
      <c r="Y55" s="448"/>
      <c r="Z55" s="448"/>
      <c r="AA55" s="448"/>
      <c r="AB55" s="448"/>
      <c r="AC55" s="448"/>
      <c r="AD55" s="448"/>
      <c r="AE55" s="444"/>
      <c r="AF55" s="444"/>
      <c r="AG55" s="444"/>
      <c r="AH55" s="444"/>
      <c r="AI55" s="444"/>
      <c r="AJ55" s="444"/>
      <c r="AK55" s="444"/>
      <c r="AL55" s="444"/>
      <c r="AM55" s="444"/>
      <c r="AN55" s="444"/>
      <c r="AO55" s="444"/>
      <c r="AP55" s="444"/>
    </row>
    <row r="56" spans="1:45" ht="20.100000000000001" customHeight="1" x14ac:dyDescent="0.4">
      <c r="B56" s="472">
        <v>7</v>
      </c>
      <c r="C56" s="452">
        <v>0.5625</v>
      </c>
      <c r="D56" s="452">
        <v>0.4375</v>
      </c>
      <c r="E56" s="452"/>
      <c r="F56" s="443"/>
      <c r="G56" s="444"/>
      <c r="H56" s="444"/>
      <c r="I56" s="444"/>
      <c r="J56" s="445" t="str">
        <f>IFERROR(VLOOKUP(AR56,$C$36:$N$40,3,0),"")&amp;IFERROR(VLOOKUP(AR56,$Q$36:$AB$40,3,0),"")</f>
        <v>泉ＦＣ宇都宮</v>
      </c>
      <c r="K56" s="446"/>
      <c r="L56" s="446"/>
      <c r="M56" s="446"/>
      <c r="N56" s="446"/>
      <c r="O56" s="446"/>
      <c r="P56" s="446"/>
      <c r="Q56" s="450">
        <f>IF(OR(S56="",S57=""),"",S56+S57)</f>
        <v>0</v>
      </c>
      <c r="R56" s="450"/>
      <c r="S56" s="222">
        <v>0</v>
      </c>
      <c r="T56" s="223" t="s">
        <v>30</v>
      </c>
      <c r="U56" s="222">
        <v>0</v>
      </c>
      <c r="V56" s="450">
        <f>IF(OR(U56="",U57=""),"",U56+U57)</f>
        <v>1</v>
      </c>
      <c r="W56" s="450"/>
      <c r="X56" s="447" t="str">
        <f>IFERROR(VLOOKUP(AS56,$C$36:$N$40,3,0),"")&amp;IFERROR(VLOOKUP(AS56,$Q$36:$AB$40,3,0),"")</f>
        <v>岡西ＦＣ</v>
      </c>
      <c r="Y56" s="448"/>
      <c r="Z56" s="448"/>
      <c r="AA56" s="448"/>
      <c r="AB56" s="448"/>
      <c r="AC56" s="448"/>
      <c r="AD56" s="448"/>
      <c r="AE56" s="443"/>
      <c r="AF56" s="444"/>
      <c r="AG56" s="444"/>
      <c r="AH56" s="444"/>
      <c r="AI56" s="450" t="str">
        <f ca="1">DBCS(INDIRECT("U12対戦スケジュール!C"&amp;(ROW()/2+8)))</f>
        <v>１０／２／２／１０</v>
      </c>
      <c r="AJ56" s="444"/>
      <c r="AK56" s="444"/>
      <c r="AL56" s="444"/>
      <c r="AM56" s="444"/>
      <c r="AN56" s="444"/>
      <c r="AO56" s="444"/>
      <c r="AP56" s="444"/>
      <c r="AR56" s="56">
        <v>9</v>
      </c>
      <c r="AS56" s="56">
        <v>1</v>
      </c>
    </row>
    <row r="57" spans="1:45" ht="20.100000000000001" customHeight="1" x14ac:dyDescent="0.4">
      <c r="B57" s="472"/>
      <c r="C57" s="452"/>
      <c r="D57" s="452"/>
      <c r="E57" s="452"/>
      <c r="F57" s="444"/>
      <c r="G57" s="444"/>
      <c r="H57" s="444"/>
      <c r="I57" s="444"/>
      <c r="J57" s="446"/>
      <c r="K57" s="446"/>
      <c r="L57" s="446"/>
      <c r="M57" s="446"/>
      <c r="N57" s="446"/>
      <c r="O57" s="446"/>
      <c r="P57" s="446"/>
      <c r="Q57" s="450"/>
      <c r="R57" s="450"/>
      <c r="S57" s="222">
        <v>0</v>
      </c>
      <c r="T57" s="223" t="s">
        <v>30</v>
      </c>
      <c r="U57" s="222">
        <v>1</v>
      </c>
      <c r="V57" s="450"/>
      <c r="W57" s="450"/>
      <c r="X57" s="448"/>
      <c r="Y57" s="448"/>
      <c r="Z57" s="448"/>
      <c r="AA57" s="448"/>
      <c r="AB57" s="448"/>
      <c r="AC57" s="448"/>
      <c r="AD57" s="448"/>
      <c r="AE57" s="444"/>
      <c r="AF57" s="444"/>
      <c r="AG57" s="444"/>
      <c r="AH57" s="444"/>
      <c r="AI57" s="444"/>
      <c r="AJ57" s="444"/>
      <c r="AK57" s="444"/>
      <c r="AL57" s="444"/>
      <c r="AM57" s="444"/>
      <c r="AN57" s="444"/>
      <c r="AO57" s="444"/>
      <c r="AP57" s="444"/>
    </row>
    <row r="58" spans="1:45" s="55" customFormat="1" ht="15.75" customHeight="1" x14ac:dyDescent="0.4">
      <c r="A58" s="58"/>
      <c r="B58" s="59"/>
      <c r="C58" s="60"/>
      <c r="D58" s="60"/>
      <c r="E58" s="60"/>
      <c r="F58" s="59"/>
      <c r="G58" s="59"/>
      <c r="H58" s="59"/>
      <c r="I58" s="59"/>
      <c r="J58" s="59"/>
      <c r="K58" s="61"/>
      <c r="L58" s="61"/>
      <c r="M58" s="62"/>
      <c r="N58" s="63"/>
      <c r="O58" s="62"/>
      <c r="P58" s="61"/>
      <c r="Q58" s="61"/>
      <c r="R58" s="59"/>
      <c r="S58" s="59"/>
      <c r="T58" s="59"/>
      <c r="U58" s="59"/>
      <c r="V58" s="59"/>
      <c r="W58" s="66"/>
      <c r="X58" s="66"/>
      <c r="Y58" s="66"/>
      <c r="Z58" s="66"/>
      <c r="AA58" s="66"/>
      <c r="AB58" s="66"/>
      <c r="AC58" s="58"/>
    </row>
    <row r="59" spans="1:45" ht="20.25" customHeight="1" x14ac:dyDescent="0.4">
      <c r="D59" s="477" t="s">
        <v>31</v>
      </c>
      <c r="E59" s="477"/>
      <c r="F59" s="477"/>
      <c r="G59" s="477"/>
      <c r="H59" s="477"/>
      <c r="I59" s="477"/>
      <c r="J59" s="477" t="s">
        <v>27</v>
      </c>
      <c r="K59" s="477"/>
      <c r="L59" s="477"/>
      <c r="M59" s="477"/>
      <c r="N59" s="477"/>
      <c r="O59" s="477"/>
      <c r="P59" s="477"/>
      <c r="Q59" s="477"/>
      <c r="R59" s="478" t="s">
        <v>32</v>
      </c>
      <c r="S59" s="478"/>
      <c r="T59" s="478"/>
      <c r="U59" s="478"/>
      <c r="V59" s="478"/>
      <c r="W59" s="478"/>
      <c r="X59" s="478"/>
      <c r="Y59" s="478"/>
      <c r="Z59" s="478"/>
      <c r="AA59" s="479" t="s">
        <v>33</v>
      </c>
      <c r="AB59" s="479"/>
      <c r="AC59" s="479"/>
      <c r="AD59" s="479" t="s">
        <v>34</v>
      </c>
      <c r="AE59" s="479"/>
      <c r="AF59" s="479"/>
      <c r="AG59" s="479"/>
      <c r="AH59" s="479"/>
      <c r="AI59" s="479"/>
      <c r="AJ59" s="479"/>
      <c r="AK59" s="479"/>
      <c r="AL59" s="479"/>
      <c r="AM59" s="479"/>
    </row>
    <row r="60" spans="1:45" ht="30" customHeight="1" x14ac:dyDescent="0.4">
      <c r="D60" s="477" t="s">
        <v>35</v>
      </c>
      <c r="E60" s="477"/>
      <c r="F60" s="477"/>
      <c r="G60" s="477"/>
      <c r="H60" s="477"/>
      <c r="I60" s="477"/>
      <c r="J60" s="477"/>
      <c r="K60" s="477"/>
      <c r="L60" s="477"/>
      <c r="M60" s="477"/>
      <c r="N60" s="477"/>
      <c r="O60" s="477"/>
      <c r="P60" s="477"/>
      <c r="Q60" s="477"/>
      <c r="R60" s="478"/>
      <c r="S60" s="478"/>
      <c r="T60" s="478"/>
      <c r="U60" s="478"/>
      <c r="V60" s="478"/>
      <c r="W60" s="478"/>
      <c r="X60" s="478"/>
      <c r="Y60" s="478"/>
      <c r="Z60" s="478"/>
      <c r="AA60" s="481"/>
      <c r="AB60" s="481"/>
      <c r="AC60" s="481"/>
      <c r="AD60" s="480"/>
      <c r="AE60" s="480"/>
      <c r="AF60" s="480"/>
      <c r="AG60" s="480"/>
      <c r="AH60" s="480"/>
      <c r="AI60" s="480"/>
      <c r="AJ60" s="480"/>
      <c r="AK60" s="480"/>
      <c r="AL60" s="480"/>
      <c r="AM60" s="480"/>
    </row>
    <row r="61" spans="1:45" ht="30" customHeight="1" x14ac:dyDescent="0.4">
      <c r="D61" s="477" t="s">
        <v>35</v>
      </c>
      <c r="E61" s="477"/>
      <c r="F61" s="477"/>
      <c r="G61" s="477"/>
      <c r="H61" s="477"/>
      <c r="I61" s="477"/>
      <c r="J61" s="477"/>
      <c r="K61" s="477"/>
      <c r="L61" s="477"/>
      <c r="M61" s="477"/>
      <c r="N61" s="477"/>
      <c r="O61" s="477"/>
      <c r="P61" s="477"/>
      <c r="Q61" s="477"/>
      <c r="R61" s="478"/>
      <c r="S61" s="478"/>
      <c r="T61" s="478"/>
      <c r="U61" s="478"/>
      <c r="V61" s="478"/>
      <c r="W61" s="478"/>
      <c r="X61" s="478"/>
      <c r="Y61" s="478"/>
      <c r="Z61" s="478"/>
      <c r="AA61" s="479"/>
      <c r="AB61" s="479"/>
      <c r="AC61" s="479"/>
      <c r="AD61" s="480"/>
      <c r="AE61" s="480"/>
      <c r="AF61" s="480"/>
      <c r="AG61" s="480"/>
      <c r="AH61" s="480"/>
      <c r="AI61" s="480"/>
      <c r="AJ61" s="480"/>
      <c r="AK61" s="480"/>
      <c r="AL61" s="480"/>
      <c r="AM61" s="480"/>
    </row>
    <row r="62" spans="1:45" ht="30" customHeight="1" x14ac:dyDescent="0.4">
      <c r="D62" s="477" t="s">
        <v>35</v>
      </c>
      <c r="E62" s="477"/>
      <c r="F62" s="477"/>
      <c r="G62" s="477"/>
      <c r="H62" s="477"/>
      <c r="I62" s="477"/>
      <c r="J62" s="477"/>
      <c r="K62" s="477"/>
      <c r="L62" s="477"/>
      <c r="M62" s="477"/>
      <c r="N62" s="477"/>
      <c r="O62" s="477"/>
      <c r="P62" s="477"/>
      <c r="Q62" s="477"/>
      <c r="R62" s="478"/>
      <c r="S62" s="478"/>
      <c r="T62" s="478"/>
      <c r="U62" s="478"/>
      <c r="V62" s="478"/>
      <c r="W62" s="478"/>
      <c r="X62" s="478"/>
      <c r="Y62" s="478"/>
      <c r="Z62" s="478"/>
      <c r="AA62" s="479"/>
      <c r="AB62" s="479"/>
      <c r="AC62" s="479"/>
      <c r="AD62" s="480"/>
      <c r="AE62" s="480"/>
      <c r="AF62" s="480"/>
      <c r="AG62" s="480"/>
      <c r="AH62" s="480"/>
      <c r="AI62" s="480"/>
      <c r="AJ62" s="480"/>
      <c r="AK62" s="480"/>
      <c r="AL62" s="480"/>
      <c r="AM62" s="480"/>
    </row>
    <row r="63" spans="1:45" ht="14.25" customHeight="1" x14ac:dyDescent="0.4">
      <c r="A63" s="451" t="s">
        <v>553</v>
      </c>
      <c r="B63" s="451"/>
      <c r="C63" s="451"/>
      <c r="D63" s="451"/>
      <c r="E63" s="451"/>
      <c r="F63" s="451"/>
      <c r="G63" s="451"/>
      <c r="H63" s="451"/>
      <c r="I63" s="451"/>
      <c r="J63" s="451"/>
      <c r="K63" s="451"/>
      <c r="L63" s="451"/>
      <c r="M63" s="451"/>
      <c r="N63" s="451"/>
      <c r="O63" s="451"/>
      <c r="P63" s="451"/>
      <c r="Q63" s="451"/>
      <c r="R63" s="451"/>
      <c r="S63" s="451"/>
      <c r="T63" s="451"/>
      <c r="U63" s="451"/>
      <c r="V63" s="451"/>
      <c r="W63" s="451"/>
      <c r="X63" s="451"/>
      <c r="Y63" s="451"/>
      <c r="Z63" s="451"/>
      <c r="AA63" s="451"/>
      <c r="AB63" s="451"/>
      <c r="AC63" s="451"/>
      <c r="AD63" s="451"/>
      <c r="AE63" s="451"/>
      <c r="AF63" s="451"/>
      <c r="AG63" s="451"/>
      <c r="AH63" s="451"/>
      <c r="AI63" s="451"/>
      <c r="AJ63" s="451"/>
      <c r="AK63" s="451"/>
      <c r="AL63" s="451"/>
      <c r="AM63" s="451"/>
      <c r="AN63" s="451"/>
      <c r="AO63" s="451"/>
      <c r="AP63" s="451"/>
      <c r="AQ63" s="451"/>
      <c r="AR63" s="136"/>
      <c r="AS63" s="136"/>
    </row>
    <row r="64" spans="1:45" ht="14.25" customHeight="1" x14ac:dyDescent="0.4">
      <c r="A64" s="451"/>
      <c r="B64" s="451"/>
      <c r="C64" s="451"/>
      <c r="D64" s="451"/>
      <c r="E64" s="451"/>
      <c r="F64" s="451"/>
      <c r="G64" s="451"/>
      <c r="H64" s="451"/>
      <c r="I64" s="451"/>
      <c r="J64" s="451"/>
      <c r="K64" s="451"/>
      <c r="L64" s="451"/>
      <c r="M64" s="451"/>
      <c r="N64" s="451"/>
      <c r="O64" s="451"/>
      <c r="P64" s="451"/>
      <c r="Q64" s="451"/>
      <c r="R64" s="451"/>
      <c r="S64" s="451"/>
      <c r="T64" s="451"/>
      <c r="U64" s="451"/>
      <c r="V64" s="451"/>
      <c r="W64" s="451"/>
      <c r="X64" s="451"/>
      <c r="Y64" s="451"/>
      <c r="Z64" s="451"/>
      <c r="AA64" s="451"/>
      <c r="AB64" s="451"/>
      <c r="AC64" s="451"/>
      <c r="AD64" s="451"/>
      <c r="AE64" s="451"/>
      <c r="AF64" s="451"/>
      <c r="AG64" s="451"/>
      <c r="AH64" s="451"/>
      <c r="AI64" s="451"/>
      <c r="AJ64" s="451"/>
      <c r="AK64" s="451"/>
      <c r="AL64" s="451"/>
      <c r="AM64" s="451"/>
      <c r="AN64" s="451"/>
      <c r="AO64" s="451"/>
      <c r="AP64" s="451"/>
      <c r="AQ64" s="451"/>
      <c r="AR64" s="136"/>
      <c r="AS64" s="136"/>
    </row>
    <row r="65" spans="2:45" ht="27.75" customHeight="1" x14ac:dyDescent="0.4">
      <c r="C65" s="460" t="s">
        <v>8</v>
      </c>
      <c r="D65" s="460"/>
      <c r="E65" s="460"/>
      <c r="F65" s="460"/>
      <c r="G65" s="482" t="str">
        <f>U12対戦スケジュール!B53</f>
        <v>石井緑地 No.１</v>
      </c>
      <c r="H65" s="483"/>
      <c r="I65" s="483"/>
      <c r="J65" s="483"/>
      <c r="K65" s="483"/>
      <c r="L65" s="483"/>
      <c r="M65" s="483"/>
      <c r="N65" s="483"/>
      <c r="O65" s="483"/>
      <c r="P65" s="460" t="s">
        <v>0</v>
      </c>
      <c r="Q65" s="460"/>
      <c r="R65" s="460"/>
      <c r="S65" s="460"/>
      <c r="T65" s="482" t="str">
        <f>U12対戦スケジュール!B54</f>
        <v>昭和・戸祭ＳＣ-S</v>
      </c>
      <c r="U65" s="483"/>
      <c r="V65" s="483"/>
      <c r="W65" s="483"/>
      <c r="X65" s="483"/>
      <c r="Y65" s="483"/>
      <c r="Z65" s="483"/>
      <c r="AA65" s="483"/>
      <c r="AB65" s="483"/>
      <c r="AC65" s="460" t="s">
        <v>9</v>
      </c>
      <c r="AD65" s="460"/>
      <c r="AE65" s="460"/>
      <c r="AF65" s="460"/>
      <c r="AG65" s="484">
        <f>U12組合せ!$B36</f>
        <v>43750</v>
      </c>
      <c r="AH65" s="485"/>
      <c r="AI65" s="485"/>
      <c r="AJ65" s="485"/>
      <c r="AK65" s="485"/>
      <c r="AL65" s="485"/>
      <c r="AM65" s="486" t="str">
        <f>"（"&amp;TEXT(AG65,"aaa")&amp;"）"</f>
        <v>（土）</v>
      </c>
      <c r="AN65" s="486"/>
      <c r="AO65" s="487"/>
    </row>
    <row r="66" spans="2:45" ht="15" customHeight="1" x14ac:dyDescent="0.4"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64"/>
      <c r="X66" s="64"/>
      <c r="Y66" s="64"/>
      <c r="Z66" s="64"/>
      <c r="AA66" s="64"/>
      <c r="AB66" s="64"/>
      <c r="AC66" s="64"/>
    </row>
    <row r="67" spans="2:45" ht="18" customHeight="1" x14ac:dyDescent="0.4">
      <c r="C67" s="475">
        <v>1</v>
      </c>
      <c r="D67" s="475"/>
      <c r="E67" s="476" t="str">
        <f>U12組合せ!$D14</f>
        <v>岡西ＦＣ</v>
      </c>
      <c r="F67" s="476"/>
      <c r="G67" s="476"/>
      <c r="H67" s="476"/>
      <c r="I67" s="476"/>
      <c r="J67" s="476"/>
      <c r="K67" s="476"/>
      <c r="L67" s="476"/>
      <c r="M67" s="476"/>
      <c r="N67" s="476"/>
      <c r="O67" s="58"/>
      <c r="P67" s="58"/>
      <c r="Q67" s="475">
        <v>6</v>
      </c>
      <c r="R67" s="475"/>
      <c r="S67" s="476" t="str">
        <f>U12組合せ!$D19</f>
        <v>宝木キッカーズ</v>
      </c>
      <c r="T67" s="476"/>
      <c r="U67" s="476"/>
      <c r="V67" s="476"/>
      <c r="W67" s="476"/>
      <c r="X67" s="476"/>
      <c r="Y67" s="476"/>
      <c r="Z67" s="476"/>
      <c r="AA67" s="476"/>
      <c r="AB67" s="476"/>
      <c r="AC67" s="68"/>
      <c r="AD67" s="55"/>
      <c r="AE67" s="475"/>
      <c r="AF67" s="475"/>
      <c r="AG67" s="476"/>
      <c r="AH67" s="476"/>
      <c r="AI67" s="476"/>
      <c r="AJ67" s="476"/>
      <c r="AK67" s="476"/>
      <c r="AL67" s="476"/>
      <c r="AM67" s="476"/>
      <c r="AN67" s="476"/>
      <c r="AO67" s="476"/>
      <c r="AP67" s="476"/>
    </row>
    <row r="68" spans="2:45" ht="18" customHeight="1" x14ac:dyDescent="0.4">
      <c r="C68" s="475">
        <v>2</v>
      </c>
      <c r="D68" s="475"/>
      <c r="E68" s="476" t="str">
        <f>U12組合せ!$D15</f>
        <v>国本ＪＳＣ</v>
      </c>
      <c r="F68" s="476"/>
      <c r="G68" s="476"/>
      <c r="H68" s="476"/>
      <c r="I68" s="476"/>
      <c r="J68" s="476"/>
      <c r="K68" s="476"/>
      <c r="L68" s="476"/>
      <c r="M68" s="476"/>
      <c r="N68" s="476"/>
      <c r="O68" s="58"/>
      <c r="P68" s="58"/>
      <c r="Q68" s="475">
        <v>7</v>
      </c>
      <c r="R68" s="475"/>
      <c r="S68" s="476" t="str">
        <f>U12組合せ!$D20</f>
        <v>サウス宇都宮ＳＣ</v>
      </c>
      <c r="T68" s="476"/>
      <c r="U68" s="476"/>
      <c r="V68" s="476"/>
      <c r="W68" s="476"/>
      <c r="X68" s="476"/>
      <c r="Y68" s="476"/>
      <c r="Z68" s="476"/>
      <c r="AA68" s="476"/>
      <c r="AB68" s="476"/>
      <c r="AC68" s="68"/>
      <c r="AD68" s="55"/>
      <c r="AE68" s="475"/>
      <c r="AF68" s="475"/>
      <c r="AG68" s="476"/>
      <c r="AH68" s="476"/>
      <c r="AI68" s="476"/>
      <c r="AJ68" s="476"/>
      <c r="AK68" s="476"/>
      <c r="AL68" s="476"/>
      <c r="AM68" s="476"/>
      <c r="AN68" s="476"/>
      <c r="AO68" s="476"/>
      <c r="AP68" s="476"/>
    </row>
    <row r="69" spans="2:45" ht="18" customHeight="1" x14ac:dyDescent="0.4">
      <c r="C69" s="475">
        <v>3</v>
      </c>
      <c r="D69" s="475"/>
      <c r="E69" s="476" t="str">
        <f>U12組合せ!$D16</f>
        <v>カテット白沢U11</v>
      </c>
      <c r="F69" s="476"/>
      <c r="G69" s="476"/>
      <c r="H69" s="476"/>
      <c r="I69" s="476"/>
      <c r="J69" s="476"/>
      <c r="K69" s="476"/>
      <c r="L69" s="476"/>
      <c r="M69" s="476"/>
      <c r="N69" s="476"/>
      <c r="O69" s="58"/>
      <c r="P69" s="58"/>
      <c r="Q69" s="475">
        <v>8</v>
      </c>
      <c r="R69" s="475"/>
      <c r="S69" s="476" t="str">
        <f>U12組合せ!$D21</f>
        <v>ブラッドレスＳＳ</v>
      </c>
      <c r="T69" s="476"/>
      <c r="U69" s="476"/>
      <c r="V69" s="476"/>
      <c r="W69" s="476"/>
      <c r="X69" s="476"/>
      <c r="Y69" s="476"/>
      <c r="Z69" s="476"/>
      <c r="AA69" s="476"/>
      <c r="AB69" s="476"/>
      <c r="AC69" s="68"/>
      <c r="AD69" s="55"/>
      <c r="AE69" s="475"/>
      <c r="AF69" s="475"/>
      <c r="AG69" s="476"/>
      <c r="AH69" s="476"/>
      <c r="AI69" s="476"/>
      <c r="AJ69" s="476"/>
      <c r="AK69" s="476"/>
      <c r="AL69" s="476"/>
      <c r="AM69" s="476"/>
      <c r="AN69" s="476"/>
      <c r="AO69" s="476"/>
      <c r="AP69" s="476"/>
    </row>
    <row r="70" spans="2:45" ht="18" customHeight="1" x14ac:dyDescent="0.4">
      <c r="B70" s="57"/>
      <c r="C70" s="475">
        <v>4</v>
      </c>
      <c r="D70" s="475"/>
      <c r="E70" s="476" t="str">
        <f>U12組合せ!$D17</f>
        <v>ＦＣアリーバ</v>
      </c>
      <c r="F70" s="476"/>
      <c r="G70" s="476"/>
      <c r="H70" s="476"/>
      <c r="I70" s="476"/>
      <c r="J70" s="476"/>
      <c r="K70" s="476"/>
      <c r="L70" s="476"/>
      <c r="M70" s="476"/>
      <c r="N70" s="476"/>
      <c r="O70" s="58"/>
      <c r="P70" s="58"/>
      <c r="Q70" s="475">
        <v>9</v>
      </c>
      <c r="R70" s="475"/>
      <c r="S70" s="476" t="str">
        <f>U12組合せ!$D22</f>
        <v>泉ＦＣ宇都宮</v>
      </c>
      <c r="T70" s="476"/>
      <c r="U70" s="476"/>
      <c r="V70" s="476"/>
      <c r="W70" s="476"/>
      <c r="X70" s="476"/>
      <c r="Y70" s="476"/>
      <c r="Z70" s="476"/>
      <c r="AA70" s="476"/>
      <c r="AB70" s="476"/>
      <c r="AC70" s="68"/>
      <c r="AD70" s="58"/>
      <c r="AE70" s="475"/>
      <c r="AF70" s="475"/>
      <c r="AG70" s="476"/>
      <c r="AH70" s="476"/>
      <c r="AI70" s="476"/>
      <c r="AJ70" s="476"/>
      <c r="AK70" s="476"/>
      <c r="AL70" s="476"/>
      <c r="AM70" s="476"/>
      <c r="AN70" s="476"/>
      <c r="AO70" s="476"/>
      <c r="AP70" s="476"/>
      <c r="AQ70" s="57"/>
      <c r="AR70" s="57"/>
      <c r="AS70" s="57"/>
    </row>
    <row r="71" spans="2:45" ht="18" customHeight="1" x14ac:dyDescent="0.4">
      <c r="C71" s="475">
        <v>5</v>
      </c>
      <c r="D71" s="475"/>
      <c r="E71" s="476" t="str">
        <f>U12組合せ!$D18</f>
        <v>ｕｎｉｏｎｓｃU12</v>
      </c>
      <c r="F71" s="476"/>
      <c r="G71" s="476"/>
      <c r="H71" s="476"/>
      <c r="I71" s="476"/>
      <c r="J71" s="476"/>
      <c r="K71" s="476"/>
      <c r="L71" s="476"/>
      <c r="M71" s="476"/>
      <c r="N71" s="476"/>
      <c r="O71" s="58"/>
      <c r="P71" s="58"/>
      <c r="Q71" s="475">
        <v>10</v>
      </c>
      <c r="R71" s="475"/>
      <c r="S71" s="476" t="str">
        <f>U12組合せ!$D23</f>
        <v>昭和・戸祭ＳＣ-S</v>
      </c>
      <c r="T71" s="476"/>
      <c r="U71" s="476"/>
      <c r="V71" s="476"/>
      <c r="W71" s="476"/>
      <c r="X71" s="476"/>
      <c r="Y71" s="476"/>
      <c r="Z71" s="476"/>
      <c r="AA71" s="476"/>
      <c r="AB71" s="476"/>
      <c r="AC71" s="68"/>
      <c r="AD71" s="55"/>
      <c r="AE71" s="475"/>
      <c r="AF71" s="475"/>
      <c r="AG71" s="453"/>
      <c r="AH71" s="454"/>
      <c r="AI71" s="454"/>
      <c r="AJ71" s="454"/>
      <c r="AK71" s="454"/>
      <c r="AL71" s="454"/>
      <c r="AM71" s="454"/>
      <c r="AN71" s="454"/>
      <c r="AO71" s="454"/>
      <c r="AP71" s="455"/>
    </row>
    <row r="72" spans="2:45" ht="15" customHeight="1" x14ac:dyDescent="0.4">
      <c r="C72" s="103"/>
      <c r="D72" s="104"/>
      <c r="E72" s="104"/>
      <c r="F72" s="104"/>
      <c r="G72" s="104"/>
      <c r="H72" s="104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104"/>
      <c r="U72" s="57"/>
      <c r="V72" s="104"/>
      <c r="W72" s="57"/>
      <c r="X72" s="104"/>
      <c r="Y72" s="57"/>
      <c r="Z72" s="104"/>
      <c r="AA72" s="57"/>
      <c r="AB72" s="104"/>
      <c r="AC72" s="104"/>
    </row>
    <row r="73" spans="2:45" ht="21" customHeight="1" x14ac:dyDescent="0.4">
      <c r="B73" s="56" t="s">
        <v>569</v>
      </c>
    </row>
    <row r="74" spans="2:45" ht="20.25" customHeight="1" x14ac:dyDescent="0.4">
      <c r="B74" s="219"/>
      <c r="C74" s="456" t="s">
        <v>25</v>
      </c>
      <c r="D74" s="456"/>
      <c r="E74" s="456"/>
      <c r="F74" s="458" t="s">
        <v>26</v>
      </c>
      <c r="G74" s="459"/>
      <c r="H74" s="459"/>
      <c r="I74" s="459"/>
      <c r="J74" s="456" t="s">
        <v>27</v>
      </c>
      <c r="K74" s="457"/>
      <c r="L74" s="457"/>
      <c r="M74" s="457"/>
      <c r="N74" s="457"/>
      <c r="O74" s="457"/>
      <c r="P74" s="457"/>
      <c r="Q74" s="456" t="s">
        <v>570</v>
      </c>
      <c r="R74" s="456"/>
      <c r="S74" s="456"/>
      <c r="T74" s="456"/>
      <c r="U74" s="456"/>
      <c r="V74" s="456"/>
      <c r="W74" s="456"/>
      <c r="X74" s="456" t="s">
        <v>27</v>
      </c>
      <c r="Y74" s="457"/>
      <c r="Z74" s="457"/>
      <c r="AA74" s="457"/>
      <c r="AB74" s="457"/>
      <c r="AC74" s="457"/>
      <c r="AD74" s="457"/>
      <c r="AE74" s="458" t="s">
        <v>26</v>
      </c>
      <c r="AF74" s="459"/>
      <c r="AG74" s="459"/>
      <c r="AH74" s="459"/>
      <c r="AI74" s="456" t="s">
        <v>29</v>
      </c>
      <c r="AJ74" s="456"/>
      <c r="AK74" s="457"/>
      <c r="AL74" s="457"/>
      <c r="AM74" s="457"/>
      <c r="AN74" s="457"/>
      <c r="AO74" s="457"/>
      <c r="AP74" s="457"/>
    </row>
    <row r="75" spans="2:45" ht="20.100000000000001" customHeight="1" x14ac:dyDescent="0.4">
      <c r="B75" s="472">
        <v>1</v>
      </c>
      <c r="C75" s="449">
        <v>0.375</v>
      </c>
      <c r="D75" s="449"/>
      <c r="E75" s="449"/>
      <c r="F75" s="443"/>
      <c r="G75" s="444"/>
      <c r="H75" s="444"/>
      <c r="I75" s="444"/>
      <c r="J75" s="445" t="str">
        <f>IFERROR(VLOOKUP(AR75,$C$67:$N$71,3,0),"")&amp;IFERROR(VLOOKUP(AR75,$Q$67:$AB$71,3,0),"")</f>
        <v>国本ＪＳＣ</v>
      </c>
      <c r="K75" s="446"/>
      <c r="L75" s="446"/>
      <c r="M75" s="446"/>
      <c r="N75" s="446"/>
      <c r="O75" s="446"/>
      <c r="P75" s="446"/>
      <c r="Q75" s="450" t="str">
        <f>IF(OR(S75="",S76=""),"",S75+S76)</f>
        <v/>
      </c>
      <c r="R75" s="450"/>
      <c r="S75" s="220"/>
      <c r="T75" s="221" t="s">
        <v>30</v>
      </c>
      <c r="U75" s="220"/>
      <c r="V75" s="450" t="str">
        <f>IF(OR(U75="",U76=""),"",U75+U76)</f>
        <v/>
      </c>
      <c r="W75" s="450"/>
      <c r="X75" s="447" t="str">
        <f>IFERROR(VLOOKUP(AS75,$C$67:$N$71,3,0),"")&amp;IFERROR(VLOOKUP(AS75,$Q$67:$AB$71,3,0),"")</f>
        <v>ｕｎｉｏｎｓｃU12</v>
      </c>
      <c r="Y75" s="448"/>
      <c r="Z75" s="448"/>
      <c r="AA75" s="448"/>
      <c r="AB75" s="448"/>
      <c r="AC75" s="448"/>
      <c r="AD75" s="448"/>
      <c r="AE75" s="443"/>
      <c r="AF75" s="444"/>
      <c r="AG75" s="444"/>
      <c r="AH75" s="444"/>
      <c r="AI75" s="450" t="str">
        <f ca="1">DBCS(INDIRECT("U12対戦スケジュール!c"&amp;(ROW()-1)/2+18))</f>
        <v>１０／３／３／１０</v>
      </c>
      <c r="AJ75" s="444"/>
      <c r="AK75" s="444"/>
      <c r="AL75" s="444"/>
      <c r="AM75" s="444"/>
      <c r="AN75" s="444"/>
      <c r="AO75" s="444"/>
      <c r="AP75" s="444"/>
      <c r="AR75" s="56">
        <v>2</v>
      </c>
      <c r="AS75" s="56">
        <v>5</v>
      </c>
    </row>
    <row r="76" spans="2:45" ht="20.100000000000001" customHeight="1" x14ac:dyDescent="0.4">
      <c r="B76" s="472"/>
      <c r="C76" s="449"/>
      <c r="D76" s="449"/>
      <c r="E76" s="449"/>
      <c r="F76" s="444"/>
      <c r="G76" s="444"/>
      <c r="H76" s="444"/>
      <c r="I76" s="444"/>
      <c r="J76" s="446"/>
      <c r="K76" s="446"/>
      <c r="L76" s="446"/>
      <c r="M76" s="446"/>
      <c r="N76" s="446"/>
      <c r="O76" s="446"/>
      <c r="P76" s="446"/>
      <c r="Q76" s="450"/>
      <c r="R76" s="450"/>
      <c r="S76" s="220"/>
      <c r="T76" s="221" t="s">
        <v>30</v>
      </c>
      <c r="U76" s="220"/>
      <c r="V76" s="450"/>
      <c r="W76" s="450"/>
      <c r="X76" s="448"/>
      <c r="Y76" s="448"/>
      <c r="Z76" s="448"/>
      <c r="AA76" s="448"/>
      <c r="AB76" s="448"/>
      <c r="AC76" s="448"/>
      <c r="AD76" s="448"/>
      <c r="AE76" s="444"/>
      <c r="AF76" s="444"/>
      <c r="AG76" s="444"/>
      <c r="AH76" s="444"/>
      <c r="AI76" s="444"/>
      <c r="AJ76" s="444"/>
      <c r="AK76" s="444"/>
      <c r="AL76" s="444"/>
      <c r="AM76" s="444"/>
      <c r="AN76" s="444"/>
      <c r="AO76" s="444"/>
      <c r="AP76" s="444"/>
    </row>
    <row r="77" spans="2:45" ht="20.100000000000001" customHeight="1" x14ac:dyDescent="0.4">
      <c r="B77" s="472">
        <v>2</v>
      </c>
      <c r="C77" s="449">
        <v>0.40277777777777773</v>
      </c>
      <c r="D77" s="449">
        <v>0.4375</v>
      </c>
      <c r="E77" s="449"/>
      <c r="F77" s="443"/>
      <c r="G77" s="444"/>
      <c r="H77" s="444"/>
      <c r="I77" s="444"/>
      <c r="J77" s="445" t="str">
        <f>IFERROR(VLOOKUP(AR77,$C$67:$N$71,3,0),"")&amp;IFERROR(VLOOKUP(AR77,$Q$67:$AB$71,3,0),"")</f>
        <v>昭和・戸祭ＳＣ-S</v>
      </c>
      <c r="K77" s="446"/>
      <c r="L77" s="446"/>
      <c r="M77" s="446"/>
      <c r="N77" s="446"/>
      <c r="O77" s="446"/>
      <c r="P77" s="446"/>
      <c r="Q77" s="450" t="str">
        <f>IF(OR(S77="",S78=""),"",S77+S78)</f>
        <v/>
      </c>
      <c r="R77" s="450"/>
      <c r="S77" s="220"/>
      <c r="T77" s="221" t="s">
        <v>30</v>
      </c>
      <c r="U77" s="220"/>
      <c r="V77" s="450" t="str">
        <f>IF(OR(U77="",U78=""),"",U77+U78)</f>
        <v/>
      </c>
      <c r="W77" s="450"/>
      <c r="X77" s="447" t="str">
        <f>IFERROR(VLOOKUP(AS77,$C$67:$N$71,3,0),"")&amp;IFERROR(VLOOKUP(AS77,$Q$67:$AB$71,3,0),"")</f>
        <v>カテット白沢U11</v>
      </c>
      <c r="Y77" s="448"/>
      <c r="Z77" s="448"/>
      <c r="AA77" s="448"/>
      <c r="AB77" s="448"/>
      <c r="AC77" s="448"/>
      <c r="AD77" s="448"/>
      <c r="AE77" s="443"/>
      <c r="AF77" s="444"/>
      <c r="AG77" s="444"/>
      <c r="AH77" s="444"/>
      <c r="AI77" s="450" t="str">
        <f t="shared" ref="AI77" ca="1" si="0">DBCS(INDIRECT("U12対戦スケジュール!c"&amp;(ROW()-1)/2+18))</f>
        <v>２／５／５／２</v>
      </c>
      <c r="AJ77" s="444"/>
      <c r="AK77" s="444"/>
      <c r="AL77" s="444"/>
      <c r="AM77" s="444"/>
      <c r="AN77" s="444"/>
      <c r="AO77" s="444"/>
      <c r="AP77" s="444"/>
      <c r="AR77" s="56">
        <v>10</v>
      </c>
      <c r="AS77" s="56">
        <v>3</v>
      </c>
    </row>
    <row r="78" spans="2:45" ht="20.100000000000001" customHeight="1" x14ac:dyDescent="0.4">
      <c r="B78" s="472"/>
      <c r="C78" s="449"/>
      <c r="D78" s="449"/>
      <c r="E78" s="449"/>
      <c r="F78" s="444"/>
      <c r="G78" s="444"/>
      <c r="H78" s="444"/>
      <c r="I78" s="444"/>
      <c r="J78" s="446"/>
      <c r="K78" s="446"/>
      <c r="L78" s="446"/>
      <c r="M78" s="446"/>
      <c r="N78" s="446"/>
      <c r="O78" s="446"/>
      <c r="P78" s="446"/>
      <c r="Q78" s="450"/>
      <c r="R78" s="450"/>
      <c r="S78" s="220"/>
      <c r="T78" s="221" t="s">
        <v>30</v>
      </c>
      <c r="U78" s="220"/>
      <c r="V78" s="450"/>
      <c r="W78" s="450"/>
      <c r="X78" s="448"/>
      <c r="Y78" s="448"/>
      <c r="Z78" s="448"/>
      <c r="AA78" s="448"/>
      <c r="AB78" s="448"/>
      <c r="AC78" s="448"/>
      <c r="AD78" s="448"/>
      <c r="AE78" s="444"/>
      <c r="AF78" s="444"/>
      <c r="AG78" s="444"/>
      <c r="AH78" s="444"/>
      <c r="AI78" s="444"/>
      <c r="AJ78" s="444"/>
      <c r="AK78" s="444"/>
      <c r="AL78" s="444"/>
      <c r="AM78" s="444"/>
      <c r="AN78" s="444"/>
      <c r="AO78" s="444"/>
      <c r="AP78" s="444"/>
    </row>
    <row r="79" spans="2:45" ht="20.100000000000001" customHeight="1" x14ac:dyDescent="0.4">
      <c r="B79" s="472">
        <v>3</v>
      </c>
      <c r="C79" s="449">
        <v>0.43055555555555558</v>
      </c>
      <c r="D79" s="449"/>
      <c r="E79" s="449"/>
      <c r="F79" s="443"/>
      <c r="G79" s="444"/>
      <c r="H79" s="444"/>
      <c r="I79" s="444"/>
      <c r="J79" s="445" t="str">
        <f>IFERROR(VLOOKUP(AR79,$C$67:$N$71,3,0),"")&amp;IFERROR(VLOOKUP(AR79,$Q$67:$AB$71,3,0),"")</f>
        <v>ＦＣアリーバ</v>
      </c>
      <c r="K79" s="446"/>
      <c r="L79" s="446"/>
      <c r="M79" s="446"/>
      <c r="N79" s="446"/>
      <c r="O79" s="446"/>
      <c r="P79" s="446"/>
      <c r="Q79" s="450" t="str">
        <f>IF(OR(S79="",S80=""),"",S79+S80)</f>
        <v/>
      </c>
      <c r="R79" s="450"/>
      <c r="S79" s="220"/>
      <c r="T79" s="221" t="s">
        <v>30</v>
      </c>
      <c r="U79" s="220"/>
      <c r="V79" s="450" t="str">
        <f>IF(OR(U79="",U80=""),"",U79+U80)</f>
        <v/>
      </c>
      <c r="W79" s="450"/>
      <c r="X79" s="447" t="str">
        <f>IFERROR(VLOOKUP(AS79,$C$67:$N$71,3,0),"")&amp;IFERROR(VLOOKUP(AS79,$Q$67:$AB$71,3,0),"")</f>
        <v>サウス宇都宮ＳＣ</v>
      </c>
      <c r="Y79" s="448"/>
      <c r="Z79" s="448"/>
      <c r="AA79" s="448"/>
      <c r="AB79" s="448"/>
      <c r="AC79" s="448"/>
      <c r="AD79" s="448"/>
      <c r="AE79" s="443"/>
      <c r="AF79" s="444"/>
      <c r="AG79" s="444"/>
      <c r="AH79" s="444"/>
      <c r="AI79" s="450" t="str">
        <f t="shared" ref="AI79" ca="1" si="1">DBCS(INDIRECT("U12対戦スケジュール!c"&amp;(ROW()-1)/2+18))</f>
        <v>９／２／２／９</v>
      </c>
      <c r="AJ79" s="444"/>
      <c r="AK79" s="444"/>
      <c r="AL79" s="444"/>
      <c r="AM79" s="444"/>
      <c r="AN79" s="444"/>
      <c r="AO79" s="444"/>
      <c r="AP79" s="444"/>
      <c r="AR79" s="56">
        <v>4</v>
      </c>
      <c r="AS79" s="56">
        <v>7</v>
      </c>
    </row>
    <row r="80" spans="2:45" ht="20.100000000000001" customHeight="1" x14ac:dyDescent="0.4">
      <c r="B80" s="472"/>
      <c r="C80" s="449"/>
      <c r="D80" s="449"/>
      <c r="E80" s="449"/>
      <c r="F80" s="444"/>
      <c r="G80" s="444"/>
      <c r="H80" s="444"/>
      <c r="I80" s="444"/>
      <c r="J80" s="446"/>
      <c r="K80" s="446"/>
      <c r="L80" s="446"/>
      <c r="M80" s="446"/>
      <c r="N80" s="446"/>
      <c r="O80" s="446"/>
      <c r="P80" s="446"/>
      <c r="Q80" s="450"/>
      <c r="R80" s="450"/>
      <c r="S80" s="220"/>
      <c r="T80" s="221" t="s">
        <v>30</v>
      </c>
      <c r="U80" s="220"/>
      <c r="V80" s="450"/>
      <c r="W80" s="450"/>
      <c r="X80" s="448"/>
      <c r="Y80" s="448"/>
      <c r="Z80" s="448"/>
      <c r="AA80" s="448"/>
      <c r="AB80" s="448"/>
      <c r="AC80" s="448"/>
      <c r="AD80" s="448"/>
      <c r="AE80" s="444"/>
      <c r="AF80" s="444"/>
      <c r="AG80" s="444"/>
      <c r="AH80" s="444"/>
      <c r="AI80" s="444"/>
      <c r="AJ80" s="444"/>
      <c r="AK80" s="444"/>
      <c r="AL80" s="444"/>
      <c r="AM80" s="444"/>
      <c r="AN80" s="444"/>
      <c r="AO80" s="444"/>
      <c r="AP80" s="444"/>
    </row>
    <row r="81" spans="1:45" ht="20.100000000000001" customHeight="1" x14ac:dyDescent="0.4">
      <c r="B81" s="472">
        <v>4</v>
      </c>
      <c r="C81" s="449">
        <v>0.45833333333333331</v>
      </c>
      <c r="D81" s="449">
        <v>0.4375</v>
      </c>
      <c r="E81" s="449"/>
      <c r="F81" s="443"/>
      <c r="G81" s="444"/>
      <c r="H81" s="444"/>
      <c r="I81" s="444"/>
      <c r="J81" s="445" t="str">
        <f>IFERROR(VLOOKUP(AR81,$C$67:$N$71,3,0),"")&amp;IFERROR(VLOOKUP(AR81,$Q$67:$AB$71,3,0),"")</f>
        <v>泉ＦＣ宇都宮</v>
      </c>
      <c r="K81" s="446"/>
      <c r="L81" s="446"/>
      <c r="M81" s="446"/>
      <c r="N81" s="446"/>
      <c r="O81" s="446"/>
      <c r="P81" s="446"/>
      <c r="Q81" s="450" t="str">
        <f>IF(OR(S81="",S82=""),"",S81+S82)</f>
        <v/>
      </c>
      <c r="R81" s="450"/>
      <c r="S81" s="220"/>
      <c r="T81" s="221" t="s">
        <v>30</v>
      </c>
      <c r="U81" s="220"/>
      <c r="V81" s="450" t="str">
        <f>IF(OR(U81="",U82=""),"",U81+U82)</f>
        <v/>
      </c>
      <c r="W81" s="450"/>
      <c r="X81" s="447" t="str">
        <f>IFERROR(VLOOKUP(AS81,$C$67:$N$71,3,0),"")&amp;IFERROR(VLOOKUP(AS81,$Q$67:$AB$71,3,0),"")</f>
        <v>国本ＪＳＣ</v>
      </c>
      <c r="Y81" s="448"/>
      <c r="Z81" s="448"/>
      <c r="AA81" s="448"/>
      <c r="AB81" s="448"/>
      <c r="AC81" s="448"/>
      <c r="AD81" s="448"/>
      <c r="AE81" s="443"/>
      <c r="AF81" s="444"/>
      <c r="AG81" s="444"/>
      <c r="AH81" s="444"/>
      <c r="AI81" s="450" t="str">
        <f t="shared" ref="AI81" ca="1" si="2">DBCS(INDIRECT("U12対戦スケジュール!c"&amp;(ROW()-1)/2+18))</f>
        <v>４／７／７／４</v>
      </c>
      <c r="AJ81" s="444"/>
      <c r="AK81" s="444"/>
      <c r="AL81" s="444"/>
      <c r="AM81" s="444"/>
      <c r="AN81" s="444"/>
      <c r="AO81" s="444"/>
      <c r="AP81" s="444"/>
      <c r="AR81" s="56">
        <v>9</v>
      </c>
      <c r="AS81" s="56">
        <v>2</v>
      </c>
    </row>
    <row r="82" spans="1:45" ht="20.100000000000001" customHeight="1" x14ac:dyDescent="0.4">
      <c r="B82" s="472"/>
      <c r="C82" s="449"/>
      <c r="D82" s="449"/>
      <c r="E82" s="449"/>
      <c r="F82" s="444"/>
      <c r="G82" s="444"/>
      <c r="H82" s="444"/>
      <c r="I82" s="444"/>
      <c r="J82" s="446"/>
      <c r="K82" s="446"/>
      <c r="L82" s="446"/>
      <c r="M82" s="446"/>
      <c r="N82" s="446"/>
      <c r="O82" s="446"/>
      <c r="P82" s="446"/>
      <c r="Q82" s="450"/>
      <c r="R82" s="450"/>
      <c r="S82" s="220"/>
      <c r="T82" s="221" t="s">
        <v>30</v>
      </c>
      <c r="U82" s="220"/>
      <c r="V82" s="450"/>
      <c r="W82" s="450"/>
      <c r="X82" s="448"/>
      <c r="Y82" s="448"/>
      <c r="Z82" s="448"/>
      <c r="AA82" s="448"/>
      <c r="AB82" s="448"/>
      <c r="AC82" s="448"/>
      <c r="AD82" s="448"/>
      <c r="AE82" s="444"/>
      <c r="AF82" s="444"/>
      <c r="AG82" s="444"/>
      <c r="AH82" s="444"/>
      <c r="AI82" s="444"/>
      <c r="AJ82" s="444"/>
      <c r="AK82" s="444"/>
      <c r="AL82" s="444"/>
      <c r="AM82" s="444"/>
      <c r="AN82" s="444"/>
      <c r="AO82" s="444"/>
      <c r="AP82" s="444"/>
    </row>
    <row r="83" spans="1:45" ht="20.100000000000001" customHeight="1" x14ac:dyDescent="0.4">
      <c r="B83" s="472">
        <v>5</v>
      </c>
      <c r="C83" s="449">
        <v>0.4861111111111111</v>
      </c>
      <c r="D83" s="449"/>
      <c r="E83" s="449"/>
      <c r="F83" s="443"/>
      <c r="G83" s="444"/>
      <c r="H83" s="444"/>
      <c r="I83" s="444"/>
      <c r="J83" s="445" t="str">
        <f>IFERROR(VLOOKUP(AR83,$C$67:$N$71,3,0),"")&amp;IFERROR(VLOOKUP(AR83,$Q$67:$AB$71,3,0),"")</f>
        <v>サウス宇都宮ＳＣ</v>
      </c>
      <c r="K83" s="446"/>
      <c r="L83" s="446"/>
      <c r="M83" s="446"/>
      <c r="N83" s="446"/>
      <c r="O83" s="446"/>
      <c r="P83" s="446"/>
      <c r="Q83" s="450" t="str">
        <f>IF(OR(S83="",S84=""),"",S83+S84)</f>
        <v/>
      </c>
      <c r="R83" s="450"/>
      <c r="S83" s="220"/>
      <c r="T83" s="221" t="s">
        <v>30</v>
      </c>
      <c r="U83" s="220"/>
      <c r="V83" s="450" t="str">
        <f>IF(OR(U83="",U84=""),"",U83+U84)</f>
        <v/>
      </c>
      <c r="W83" s="450"/>
      <c r="X83" s="447" t="str">
        <f>IFERROR(VLOOKUP(AS83,$C$67:$N$71,3,0),"")&amp;IFERROR(VLOOKUP(AS83,$Q$67:$AB$71,3,0),"")</f>
        <v>昭和・戸祭ＳＣ-S</v>
      </c>
      <c r="Y83" s="448"/>
      <c r="Z83" s="448"/>
      <c r="AA83" s="448"/>
      <c r="AB83" s="448"/>
      <c r="AC83" s="448"/>
      <c r="AD83" s="448"/>
      <c r="AE83" s="443"/>
      <c r="AF83" s="444"/>
      <c r="AG83" s="444"/>
      <c r="AH83" s="444"/>
      <c r="AI83" s="450" t="str">
        <f t="shared" ref="AI83" ca="1" si="3">DBCS(INDIRECT("U12対戦スケジュール!c"&amp;(ROW()-1)/2+18))</f>
        <v>３／６／６／３</v>
      </c>
      <c r="AJ83" s="444"/>
      <c r="AK83" s="444"/>
      <c r="AL83" s="444"/>
      <c r="AM83" s="444"/>
      <c r="AN83" s="444"/>
      <c r="AO83" s="444"/>
      <c r="AP83" s="444"/>
      <c r="AR83" s="56">
        <v>7</v>
      </c>
      <c r="AS83" s="56">
        <v>10</v>
      </c>
    </row>
    <row r="84" spans="1:45" ht="20.100000000000001" customHeight="1" x14ac:dyDescent="0.4">
      <c r="B84" s="472"/>
      <c r="C84" s="449"/>
      <c r="D84" s="449"/>
      <c r="E84" s="449"/>
      <c r="F84" s="444"/>
      <c r="G84" s="444"/>
      <c r="H84" s="444"/>
      <c r="I84" s="444"/>
      <c r="J84" s="446"/>
      <c r="K84" s="446"/>
      <c r="L84" s="446"/>
      <c r="M84" s="446"/>
      <c r="N84" s="446"/>
      <c r="O84" s="446"/>
      <c r="P84" s="446"/>
      <c r="Q84" s="450"/>
      <c r="R84" s="450"/>
      <c r="S84" s="220"/>
      <c r="T84" s="221" t="s">
        <v>30</v>
      </c>
      <c r="U84" s="220"/>
      <c r="V84" s="450"/>
      <c r="W84" s="450"/>
      <c r="X84" s="448"/>
      <c r="Y84" s="448"/>
      <c r="Z84" s="448"/>
      <c r="AA84" s="448"/>
      <c r="AB84" s="448"/>
      <c r="AC84" s="448"/>
      <c r="AD84" s="448"/>
      <c r="AE84" s="444"/>
      <c r="AF84" s="444"/>
      <c r="AG84" s="444"/>
      <c r="AH84" s="444"/>
      <c r="AI84" s="444"/>
      <c r="AJ84" s="444"/>
      <c r="AK84" s="444"/>
      <c r="AL84" s="444"/>
      <c r="AM84" s="444"/>
      <c r="AN84" s="444"/>
      <c r="AO84" s="444"/>
      <c r="AP84" s="444"/>
    </row>
    <row r="85" spans="1:45" ht="20.100000000000001" customHeight="1" x14ac:dyDescent="0.4">
      <c r="B85" s="472">
        <v>6</v>
      </c>
      <c r="C85" s="449">
        <v>0.51388888888888895</v>
      </c>
      <c r="D85" s="449">
        <v>0.4375</v>
      </c>
      <c r="E85" s="449"/>
      <c r="F85" s="443"/>
      <c r="G85" s="444"/>
      <c r="H85" s="444"/>
      <c r="I85" s="444"/>
      <c r="J85" s="445" t="str">
        <f>IFERROR(VLOOKUP(AR85,$C$67:$N$71,3,0),"")&amp;IFERROR(VLOOKUP(AR85,$Q$67:$AB$71,3,0),"")</f>
        <v>カテット白沢U11</v>
      </c>
      <c r="K85" s="446"/>
      <c r="L85" s="446"/>
      <c r="M85" s="446"/>
      <c r="N85" s="446"/>
      <c r="O85" s="446"/>
      <c r="P85" s="446"/>
      <c r="Q85" s="450" t="str">
        <f>IF(OR(S85="",S86=""),"",S85+S86)</f>
        <v/>
      </c>
      <c r="R85" s="450"/>
      <c r="S85" s="220"/>
      <c r="T85" s="221" t="s">
        <v>30</v>
      </c>
      <c r="U85" s="220"/>
      <c r="V85" s="450" t="str">
        <f>IF(OR(U85="",U86=""),"",U85+U86)</f>
        <v/>
      </c>
      <c r="W85" s="450"/>
      <c r="X85" s="447" t="str">
        <f>IFERROR(VLOOKUP(AS85,$C$67:$N$71,3,0),"")&amp;IFERROR(VLOOKUP(AS85,$Q$67:$AB$71,3,0),"")</f>
        <v>宝木キッカーズ</v>
      </c>
      <c r="Y85" s="448"/>
      <c r="Z85" s="448"/>
      <c r="AA85" s="448"/>
      <c r="AB85" s="448"/>
      <c r="AC85" s="448"/>
      <c r="AD85" s="448"/>
      <c r="AE85" s="443"/>
      <c r="AF85" s="444"/>
      <c r="AG85" s="444"/>
      <c r="AH85" s="444"/>
      <c r="AI85" s="450" t="str">
        <f t="shared" ref="AI85" ca="1" si="4">DBCS(INDIRECT("U12対戦スケジュール!c"&amp;(ROW()-1)/2+18))</f>
        <v>１／４／４／１</v>
      </c>
      <c r="AJ85" s="444"/>
      <c r="AK85" s="444"/>
      <c r="AL85" s="444"/>
      <c r="AM85" s="444"/>
      <c r="AN85" s="444"/>
      <c r="AO85" s="444"/>
      <c r="AP85" s="444"/>
      <c r="AR85" s="56">
        <v>3</v>
      </c>
      <c r="AS85" s="56">
        <v>6</v>
      </c>
    </row>
    <row r="86" spans="1:45" ht="20.100000000000001" customHeight="1" x14ac:dyDescent="0.4">
      <c r="B86" s="472"/>
      <c r="C86" s="449"/>
      <c r="D86" s="449"/>
      <c r="E86" s="449"/>
      <c r="F86" s="444"/>
      <c r="G86" s="444"/>
      <c r="H86" s="444"/>
      <c r="I86" s="444"/>
      <c r="J86" s="446"/>
      <c r="K86" s="446"/>
      <c r="L86" s="446"/>
      <c r="M86" s="446"/>
      <c r="N86" s="446"/>
      <c r="O86" s="446"/>
      <c r="P86" s="446"/>
      <c r="Q86" s="450"/>
      <c r="R86" s="450"/>
      <c r="S86" s="220"/>
      <c r="T86" s="221" t="s">
        <v>30</v>
      </c>
      <c r="U86" s="220"/>
      <c r="V86" s="450"/>
      <c r="W86" s="450"/>
      <c r="X86" s="448"/>
      <c r="Y86" s="448"/>
      <c r="Z86" s="448"/>
      <c r="AA86" s="448"/>
      <c r="AB86" s="448"/>
      <c r="AC86" s="448"/>
      <c r="AD86" s="448"/>
      <c r="AE86" s="444"/>
      <c r="AF86" s="444"/>
      <c r="AG86" s="444"/>
      <c r="AH86" s="444"/>
      <c r="AI86" s="444"/>
      <c r="AJ86" s="444"/>
      <c r="AK86" s="444"/>
      <c r="AL86" s="444"/>
      <c r="AM86" s="444"/>
      <c r="AN86" s="444"/>
      <c r="AO86" s="444"/>
      <c r="AP86" s="444"/>
    </row>
    <row r="87" spans="1:45" ht="20.100000000000001" customHeight="1" x14ac:dyDescent="0.4">
      <c r="B87" s="472">
        <v>7</v>
      </c>
      <c r="C87" s="449">
        <v>0.54166666666666663</v>
      </c>
      <c r="D87" s="449">
        <v>0.4375</v>
      </c>
      <c r="E87" s="449"/>
      <c r="F87" s="443"/>
      <c r="G87" s="444"/>
      <c r="H87" s="444"/>
      <c r="I87" s="444"/>
      <c r="J87" s="445" t="str">
        <f>IFERROR(VLOOKUP(AR87,$C$67:$N$71,3,0),"")&amp;IFERROR(VLOOKUP(AR87,$Q$67:$AB$71,3,0),"")</f>
        <v>岡西ＦＣ</v>
      </c>
      <c r="K87" s="446"/>
      <c r="L87" s="446"/>
      <c r="M87" s="446"/>
      <c r="N87" s="446"/>
      <c r="O87" s="446"/>
      <c r="P87" s="446"/>
      <c r="Q87" s="450" t="str">
        <f>IF(OR(S87="",S88=""),"",S87+S88)</f>
        <v/>
      </c>
      <c r="R87" s="450"/>
      <c r="S87" s="220"/>
      <c r="T87" s="221" t="s">
        <v>30</v>
      </c>
      <c r="U87" s="220"/>
      <c r="V87" s="450" t="str">
        <f>IF(OR(U87="",U88=""),"",U87+U88)</f>
        <v/>
      </c>
      <c r="W87" s="450"/>
      <c r="X87" s="447" t="str">
        <f>IFERROR(VLOOKUP(AS87,$C$67:$N$71,3,0),"")&amp;IFERROR(VLOOKUP(AS87,$Q$67:$AB$71,3,0),"")</f>
        <v>ＦＣアリーバ</v>
      </c>
      <c r="Y87" s="448"/>
      <c r="Z87" s="448"/>
      <c r="AA87" s="448"/>
      <c r="AB87" s="448"/>
      <c r="AC87" s="448"/>
      <c r="AD87" s="448"/>
      <c r="AE87" s="443"/>
      <c r="AF87" s="444"/>
      <c r="AG87" s="444"/>
      <c r="AH87" s="444"/>
      <c r="AI87" s="450" t="str">
        <f t="shared" ref="AI87" ca="1" si="5">DBCS(INDIRECT("U12対戦スケジュール!c"&amp;(ROW()-1)/2+18))</f>
        <v>７／１０／１０／７</v>
      </c>
      <c r="AJ87" s="444"/>
      <c r="AK87" s="444"/>
      <c r="AL87" s="444"/>
      <c r="AM87" s="444"/>
      <c r="AN87" s="444"/>
      <c r="AO87" s="444"/>
      <c r="AP87" s="444"/>
      <c r="AR87" s="56">
        <v>1</v>
      </c>
      <c r="AS87" s="56">
        <v>4</v>
      </c>
    </row>
    <row r="88" spans="1:45" ht="20.100000000000001" customHeight="1" x14ac:dyDescent="0.4">
      <c r="B88" s="472"/>
      <c r="C88" s="449"/>
      <c r="D88" s="449"/>
      <c r="E88" s="449"/>
      <c r="F88" s="444"/>
      <c r="G88" s="444"/>
      <c r="H88" s="444"/>
      <c r="I88" s="444"/>
      <c r="J88" s="446"/>
      <c r="K88" s="446"/>
      <c r="L88" s="446"/>
      <c r="M88" s="446"/>
      <c r="N88" s="446"/>
      <c r="O88" s="446"/>
      <c r="P88" s="446"/>
      <c r="Q88" s="450"/>
      <c r="R88" s="450"/>
      <c r="S88" s="220"/>
      <c r="T88" s="221" t="s">
        <v>30</v>
      </c>
      <c r="U88" s="220"/>
      <c r="V88" s="450"/>
      <c r="W88" s="450"/>
      <c r="X88" s="448"/>
      <c r="Y88" s="448"/>
      <c r="Z88" s="448"/>
      <c r="AA88" s="448"/>
      <c r="AB88" s="448"/>
      <c r="AC88" s="448"/>
      <c r="AD88" s="448"/>
      <c r="AE88" s="444"/>
      <c r="AF88" s="444"/>
      <c r="AG88" s="444"/>
      <c r="AH88" s="444"/>
      <c r="AI88" s="444"/>
      <c r="AJ88" s="444"/>
      <c r="AK88" s="444"/>
      <c r="AL88" s="444"/>
      <c r="AM88" s="444"/>
      <c r="AN88" s="444"/>
      <c r="AO88" s="444"/>
      <c r="AP88" s="444"/>
    </row>
    <row r="89" spans="1:45" s="55" customFormat="1" ht="15.75" customHeight="1" x14ac:dyDescent="0.4">
      <c r="A89" s="58"/>
      <c r="B89" s="59"/>
      <c r="C89" s="60"/>
      <c r="D89" s="60"/>
      <c r="E89" s="60"/>
      <c r="F89" s="59"/>
      <c r="G89" s="59"/>
      <c r="H89" s="59"/>
      <c r="I89" s="59"/>
      <c r="J89" s="59"/>
      <c r="K89" s="61"/>
      <c r="L89" s="61"/>
      <c r="M89" s="62"/>
      <c r="N89" s="63"/>
      <c r="O89" s="62"/>
      <c r="P89" s="61"/>
      <c r="Q89" s="61"/>
      <c r="R89" s="59"/>
      <c r="S89" s="59"/>
      <c r="T89" s="59"/>
      <c r="U89" s="59"/>
      <c r="V89" s="59"/>
      <c r="W89" s="66"/>
      <c r="X89" s="66"/>
      <c r="Y89" s="66"/>
      <c r="Z89" s="66"/>
      <c r="AA89" s="66"/>
      <c r="AB89" s="66"/>
      <c r="AC89" s="58"/>
    </row>
    <row r="90" spans="1:45" ht="20.25" customHeight="1" x14ac:dyDescent="0.4">
      <c r="D90" s="498" t="s">
        <v>31</v>
      </c>
      <c r="E90" s="499"/>
      <c r="F90" s="499"/>
      <c r="G90" s="499"/>
      <c r="H90" s="499"/>
      <c r="I90" s="499"/>
      <c r="J90" s="499" t="s">
        <v>27</v>
      </c>
      <c r="K90" s="499"/>
      <c r="L90" s="499"/>
      <c r="M90" s="499"/>
      <c r="N90" s="499"/>
      <c r="O90" s="499"/>
      <c r="P90" s="499"/>
      <c r="Q90" s="499"/>
      <c r="R90" s="500" t="s">
        <v>32</v>
      </c>
      <c r="S90" s="500"/>
      <c r="T90" s="500"/>
      <c r="U90" s="500"/>
      <c r="V90" s="500"/>
      <c r="W90" s="500"/>
      <c r="X90" s="500"/>
      <c r="Y90" s="500"/>
      <c r="Z90" s="500"/>
      <c r="AA90" s="501" t="s">
        <v>33</v>
      </c>
      <c r="AB90" s="501"/>
      <c r="AC90" s="501"/>
      <c r="AD90" s="501" t="s">
        <v>34</v>
      </c>
      <c r="AE90" s="501"/>
      <c r="AF90" s="501"/>
      <c r="AG90" s="501"/>
      <c r="AH90" s="501"/>
      <c r="AI90" s="501"/>
      <c r="AJ90" s="501"/>
      <c r="AK90" s="501"/>
      <c r="AL90" s="501"/>
      <c r="AM90" s="502"/>
    </row>
    <row r="91" spans="1:45" ht="30" customHeight="1" x14ac:dyDescent="0.4">
      <c r="D91" s="503" t="s">
        <v>37</v>
      </c>
      <c r="E91" s="504"/>
      <c r="F91" s="504"/>
      <c r="G91" s="504"/>
      <c r="H91" s="504"/>
      <c r="I91" s="504"/>
      <c r="J91" s="504"/>
      <c r="K91" s="504"/>
      <c r="L91" s="504"/>
      <c r="M91" s="504"/>
      <c r="N91" s="504"/>
      <c r="O91" s="504"/>
      <c r="P91" s="504"/>
      <c r="Q91" s="504"/>
      <c r="R91" s="505"/>
      <c r="S91" s="505"/>
      <c r="T91" s="505"/>
      <c r="U91" s="505"/>
      <c r="V91" s="505"/>
      <c r="W91" s="505"/>
      <c r="X91" s="505"/>
      <c r="Y91" s="505"/>
      <c r="Z91" s="505"/>
      <c r="AA91" s="506"/>
      <c r="AB91" s="506"/>
      <c r="AC91" s="506"/>
      <c r="AD91" s="507"/>
      <c r="AE91" s="507"/>
      <c r="AF91" s="507"/>
      <c r="AG91" s="507"/>
      <c r="AH91" s="507"/>
      <c r="AI91" s="507"/>
      <c r="AJ91" s="507"/>
      <c r="AK91" s="507"/>
      <c r="AL91" s="507"/>
      <c r="AM91" s="508"/>
    </row>
    <row r="92" spans="1:45" ht="30" customHeight="1" x14ac:dyDescent="0.4">
      <c r="D92" s="490" t="s">
        <v>35</v>
      </c>
      <c r="E92" s="477"/>
      <c r="F92" s="477"/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77"/>
      <c r="R92" s="478"/>
      <c r="S92" s="478"/>
      <c r="T92" s="478"/>
      <c r="U92" s="478"/>
      <c r="V92" s="478"/>
      <c r="W92" s="478"/>
      <c r="X92" s="478"/>
      <c r="Y92" s="478"/>
      <c r="Z92" s="478"/>
      <c r="AA92" s="478"/>
      <c r="AB92" s="478"/>
      <c r="AC92" s="478"/>
      <c r="AD92" s="480"/>
      <c r="AE92" s="480"/>
      <c r="AF92" s="480"/>
      <c r="AG92" s="480"/>
      <c r="AH92" s="480"/>
      <c r="AI92" s="480"/>
      <c r="AJ92" s="480"/>
      <c r="AK92" s="480"/>
      <c r="AL92" s="480"/>
      <c r="AM92" s="491"/>
    </row>
    <row r="93" spans="1:45" ht="30" customHeight="1" x14ac:dyDescent="0.4">
      <c r="D93" s="492" t="s">
        <v>35</v>
      </c>
      <c r="E93" s="493"/>
      <c r="F93" s="493"/>
      <c r="G93" s="493"/>
      <c r="H93" s="493"/>
      <c r="I93" s="493"/>
      <c r="J93" s="493"/>
      <c r="K93" s="493"/>
      <c r="L93" s="493"/>
      <c r="M93" s="493"/>
      <c r="N93" s="493"/>
      <c r="O93" s="493"/>
      <c r="P93" s="493"/>
      <c r="Q93" s="493"/>
      <c r="R93" s="494"/>
      <c r="S93" s="494"/>
      <c r="T93" s="494"/>
      <c r="U93" s="494"/>
      <c r="V93" s="494"/>
      <c r="W93" s="494"/>
      <c r="X93" s="494"/>
      <c r="Y93" s="494"/>
      <c r="Z93" s="494"/>
      <c r="AA93" s="495"/>
      <c r="AB93" s="495"/>
      <c r="AC93" s="495"/>
      <c r="AD93" s="496"/>
      <c r="AE93" s="496"/>
      <c r="AF93" s="496"/>
      <c r="AG93" s="496"/>
      <c r="AH93" s="496"/>
      <c r="AI93" s="496"/>
      <c r="AJ93" s="496"/>
      <c r="AK93" s="496"/>
      <c r="AL93" s="496"/>
      <c r="AM93" s="497"/>
    </row>
    <row r="94" spans="1:45" ht="14.25" customHeight="1" x14ac:dyDescent="0.4">
      <c r="A94" s="451" t="s">
        <v>554</v>
      </c>
      <c r="B94" s="451"/>
      <c r="C94" s="451"/>
      <c r="D94" s="451"/>
      <c r="E94" s="451"/>
      <c r="F94" s="451"/>
      <c r="G94" s="451"/>
      <c r="H94" s="451"/>
      <c r="I94" s="451"/>
      <c r="J94" s="451"/>
      <c r="K94" s="451"/>
      <c r="L94" s="451"/>
      <c r="M94" s="451"/>
      <c r="N94" s="451"/>
      <c r="O94" s="451"/>
      <c r="P94" s="451"/>
      <c r="Q94" s="451"/>
      <c r="R94" s="451"/>
      <c r="S94" s="451"/>
      <c r="T94" s="451"/>
      <c r="U94" s="451"/>
      <c r="V94" s="451"/>
      <c r="W94" s="451"/>
      <c r="X94" s="451"/>
      <c r="Y94" s="451"/>
      <c r="Z94" s="451"/>
      <c r="AA94" s="451"/>
      <c r="AB94" s="451"/>
      <c r="AC94" s="451"/>
      <c r="AD94" s="451"/>
      <c r="AE94" s="451"/>
      <c r="AF94" s="451"/>
      <c r="AG94" s="451"/>
      <c r="AH94" s="451"/>
      <c r="AI94" s="451"/>
      <c r="AJ94" s="451"/>
      <c r="AK94" s="451"/>
      <c r="AL94" s="451"/>
      <c r="AM94" s="451"/>
      <c r="AN94" s="451"/>
      <c r="AO94" s="451"/>
      <c r="AP94" s="451"/>
      <c r="AQ94" s="451"/>
      <c r="AR94" s="136"/>
      <c r="AS94" s="136"/>
    </row>
    <row r="95" spans="1:45" ht="14.25" customHeight="1" x14ac:dyDescent="0.4">
      <c r="A95" s="451"/>
      <c r="B95" s="451"/>
      <c r="C95" s="451"/>
      <c r="D95" s="451"/>
      <c r="E95" s="451"/>
      <c r="F95" s="451"/>
      <c r="G95" s="451"/>
      <c r="H95" s="451"/>
      <c r="I95" s="451"/>
      <c r="J95" s="451"/>
      <c r="K95" s="451"/>
      <c r="L95" s="451"/>
      <c r="M95" s="451"/>
      <c r="N95" s="451"/>
      <c r="O95" s="451"/>
      <c r="P95" s="451"/>
      <c r="Q95" s="451"/>
      <c r="R95" s="451"/>
      <c r="S95" s="451"/>
      <c r="T95" s="451"/>
      <c r="U95" s="451"/>
      <c r="V95" s="451"/>
      <c r="W95" s="451"/>
      <c r="X95" s="451"/>
      <c r="Y95" s="451"/>
      <c r="Z95" s="451"/>
      <c r="AA95" s="451"/>
      <c r="AB95" s="451"/>
      <c r="AC95" s="451"/>
      <c r="AD95" s="451"/>
      <c r="AE95" s="451"/>
      <c r="AF95" s="451"/>
      <c r="AG95" s="451"/>
      <c r="AH95" s="451"/>
      <c r="AI95" s="451"/>
      <c r="AJ95" s="451"/>
      <c r="AK95" s="451"/>
      <c r="AL95" s="451"/>
      <c r="AM95" s="451"/>
      <c r="AN95" s="451"/>
      <c r="AO95" s="451"/>
      <c r="AP95" s="451"/>
      <c r="AQ95" s="451"/>
      <c r="AR95" s="136"/>
      <c r="AS95" s="136"/>
    </row>
    <row r="96" spans="1:45" ht="27.75" customHeight="1" x14ac:dyDescent="0.4">
      <c r="C96" s="460" t="s">
        <v>8</v>
      </c>
      <c r="D96" s="460"/>
      <c r="E96" s="460"/>
      <c r="F96" s="460"/>
      <c r="G96" s="461" t="str">
        <f>U12対戦スケジュール!B75</f>
        <v>平出サッカー場 Ａ</v>
      </c>
      <c r="H96" s="462"/>
      <c r="I96" s="462"/>
      <c r="J96" s="462"/>
      <c r="K96" s="462"/>
      <c r="L96" s="462"/>
      <c r="M96" s="462"/>
      <c r="N96" s="462"/>
      <c r="O96" s="462"/>
      <c r="P96" s="460" t="s">
        <v>0</v>
      </c>
      <c r="Q96" s="460"/>
      <c r="R96" s="460"/>
      <c r="S96" s="460"/>
      <c r="T96" s="482" t="str">
        <f>U12対戦スケジュール!B76</f>
        <v>国本ＪＳＣ</v>
      </c>
      <c r="U96" s="483"/>
      <c r="V96" s="483"/>
      <c r="W96" s="483"/>
      <c r="X96" s="483"/>
      <c r="Y96" s="483"/>
      <c r="Z96" s="483"/>
      <c r="AA96" s="483"/>
      <c r="AB96" s="483"/>
      <c r="AC96" s="460" t="s">
        <v>9</v>
      </c>
      <c r="AD96" s="460"/>
      <c r="AE96" s="460"/>
      <c r="AF96" s="460"/>
      <c r="AG96" s="484">
        <f>U12組合せ!$B44</f>
        <v>43752</v>
      </c>
      <c r="AH96" s="485"/>
      <c r="AI96" s="485"/>
      <c r="AJ96" s="485"/>
      <c r="AK96" s="485"/>
      <c r="AL96" s="485"/>
      <c r="AM96" s="488" t="str">
        <f>"（"&amp;TEXT(AG96,"aaa")&amp;"）"</f>
        <v>（月）</v>
      </c>
      <c r="AN96" s="488"/>
      <c r="AO96" s="489"/>
    </row>
    <row r="97" spans="2:45" ht="15" customHeight="1" x14ac:dyDescent="0.4"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64"/>
      <c r="X97" s="64"/>
      <c r="Y97" s="64"/>
      <c r="Z97" s="64"/>
      <c r="AA97" s="64"/>
      <c r="AB97" s="64"/>
      <c r="AC97" s="64"/>
    </row>
    <row r="98" spans="2:45" ht="18" customHeight="1" x14ac:dyDescent="0.4">
      <c r="C98" s="475">
        <v>1</v>
      </c>
      <c r="D98" s="475"/>
      <c r="E98" s="476" t="str">
        <f>U12組合せ!$D14</f>
        <v>岡西ＦＣ</v>
      </c>
      <c r="F98" s="476"/>
      <c r="G98" s="476"/>
      <c r="H98" s="476"/>
      <c r="I98" s="476"/>
      <c r="J98" s="476"/>
      <c r="K98" s="476"/>
      <c r="L98" s="476"/>
      <c r="M98" s="476"/>
      <c r="N98" s="476"/>
      <c r="O98" s="58"/>
      <c r="P98" s="58"/>
      <c r="Q98" s="475">
        <v>6</v>
      </c>
      <c r="R98" s="475"/>
      <c r="S98" s="476" t="str">
        <f>U12組合せ!$D19</f>
        <v>宝木キッカーズ</v>
      </c>
      <c r="T98" s="476"/>
      <c r="U98" s="476"/>
      <c r="V98" s="476"/>
      <c r="W98" s="476"/>
      <c r="X98" s="476"/>
      <c r="Y98" s="476"/>
      <c r="Z98" s="476"/>
      <c r="AA98" s="476"/>
      <c r="AB98" s="476"/>
      <c r="AC98" s="68"/>
      <c r="AD98" s="55"/>
      <c r="AE98" s="475"/>
      <c r="AF98" s="475"/>
      <c r="AG98" s="476"/>
      <c r="AH98" s="476"/>
      <c r="AI98" s="476"/>
      <c r="AJ98" s="476"/>
      <c r="AK98" s="476"/>
      <c r="AL98" s="476"/>
      <c r="AM98" s="476"/>
      <c r="AN98" s="476"/>
      <c r="AO98" s="476"/>
      <c r="AP98" s="476"/>
    </row>
    <row r="99" spans="2:45" ht="18" customHeight="1" x14ac:dyDescent="0.4">
      <c r="C99" s="475">
        <v>2</v>
      </c>
      <c r="D99" s="475"/>
      <c r="E99" s="476" t="str">
        <f>U12組合せ!$D15</f>
        <v>国本ＪＳＣ</v>
      </c>
      <c r="F99" s="476"/>
      <c r="G99" s="476"/>
      <c r="H99" s="476"/>
      <c r="I99" s="476"/>
      <c r="J99" s="476"/>
      <c r="K99" s="476"/>
      <c r="L99" s="476"/>
      <c r="M99" s="476"/>
      <c r="N99" s="476"/>
      <c r="O99" s="58"/>
      <c r="P99" s="58"/>
      <c r="Q99" s="475">
        <v>7</v>
      </c>
      <c r="R99" s="475"/>
      <c r="S99" s="476" t="str">
        <f>U12組合せ!$D20</f>
        <v>サウス宇都宮ＳＣ</v>
      </c>
      <c r="T99" s="476"/>
      <c r="U99" s="476"/>
      <c r="V99" s="476"/>
      <c r="W99" s="476"/>
      <c r="X99" s="476"/>
      <c r="Y99" s="476"/>
      <c r="Z99" s="476"/>
      <c r="AA99" s="476"/>
      <c r="AB99" s="476"/>
      <c r="AC99" s="68"/>
      <c r="AD99" s="55"/>
      <c r="AE99" s="475"/>
      <c r="AF99" s="475"/>
      <c r="AG99" s="476"/>
      <c r="AH99" s="476"/>
      <c r="AI99" s="476"/>
      <c r="AJ99" s="476"/>
      <c r="AK99" s="476"/>
      <c r="AL99" s="476"/>
      <c r="AM99" s="476"/>
      <c r="AN99" s="476"/>
      <c r="AO99" s="476"/>
      <c r="AP99" s="476"/>
    </row>
    <row r="100" spans="2:45" ht="18" customHeight="1" x14ac:dyDescent="0.4">
      <c r="C100" s="475">
        <v>3</v>
      </c>
      <c r="D100" s="475"/>
      <c r="E100" s="476" t="str">
        <f>U12組合せ!$D16</f>
        <v>カテット白沢U11</v>
      </c>
      <c r="F100" s="476"/>
      <c r="G100" s="476"/>
      <c r="H100" s="476"/>
      <c r="I100" s="476"/>
      <c r="J100" s="476"/>
      <c r="K100" s="476"/>
      <c r="L100" s="476"/>
      <c r="M100" s="476"/>
      <c r="N100" s="476"/>
      <c r="O100" s="58"/>
      <c r="P100" s="58"/>
      <c r="Q100" s="475">
        <v>8</v>
      </c>
      <c r="R100" s="475"/>
      <c r="S100" s="476" t="str">
        <f>U12組合せ!$D21</f>
        <v>ブラッドレスＳＳ</v>
      </c>
      <c r="T100" s="476"/>
      <c r="U100" s="476"/>
      <c r="V100" s="476"/>
      <c r="W100" s="476"/>
      <c r="X100" s="476"/>
      <c r="Y100" s="476"/>
      <c r="Z100" s="476"/>
      <c r="AA100" s="476"/>
      <c r="AB100" s="476"/>
      <c r="AC100" s="68"/>
      <c r="AD100" s="55"/>
      <c r="AE100" s="475"/>
      <c r="AF100" s="475"/>
      <c r="AG100" s="476"/>
      <c r="AH100" s="476"/>
      <c r="AI100" s="476"/>
      <c r="AJ100" s="476"/>
      <c r="AK100" s="476"/>
      <c r="AL100" s="476"/>
      <c r="AM100" s="476"/>
      <c r="AN100" s="476"/>
      <c r="AO100" s="476"/>
      <c r="AP100" s="476"/>
    </row>
    <row r="101" spans="2:45" ht="18" customHeight="1" x14ac:dyDescent="0.4">
      <c r="C101" s="475">
        <v>4</v>
      </c>
      <c r="D101" s="475"/>
      <c r="E101" s="476" t="str">
        <f>U12組合せ!$D17</f>
        <v>ＦＣアリーバ</v>
      </c>
      <c r="F101" s="476"/>
      <c r="G101" s="476"/>
      <c r="H101" s="476"/>
      <c r="I101" s="476"/>
      <c r="J101" s="476"/>
      <c r="K101" s="476"/>
      <c r="L101" s="476"/>
      <c r="M101" s="476"/>
      <c r="N101" s="476"/>
      <c r="O101" s="58"/>
      <c r="P101" s="58"/>
      <c r="Q101" s="475">
        <v>9</v>
      </c>
      <c r="R101" s="475"/>
      <c r="S101" s="476" t="str">
        <f>U12組合せ!$D22</f>
        <v>泉ＦＣ宇都宮</v>
      </c>
      <c r="T101" s="476"/>
      <c r="U101" s="476"/>
      <c r="V101" s="476"/>
      <c r="W101" s="476"/>
      <c r="X101" s="476"/>
      <c r="Y101" s="476"/>
      <c r="Z101" s="476"/>
      <c r="AA101" s="476"/>
      <c r="AB101" s="476"/>
      <c r="AC101" s="68"/>
      <c r="AD101" s="58"/>
      <c r="AE101" s="475"/>
      <c r="AF101" s="475"/>
      <c r="AG101" s="476"/>
      <c r="AH101" s="476"/>
      <c r="AI101" s="476"/>
      <c r="AJ101" s="476"/>
      <c r="AK101" s="476"/>
      <c r="AL101" s="476"/>
      <c r="AM101" s="476"/>
      <c r="AN101" s="476"/>
      <c r="AO101" s="476"/>
      <c r="AP101" s="476"/>
    </row>
    <row r="102" spans="2:45" ht="18" customHeight="1" x14ac:dyDescent="0.4">
      <c r="C102" s="475">
        <v>5</v>
      </c>
      <c r="D102" s="475"/>
      <c r="E102" s="476" t="str">
        <f>U12組合せ!$D18</f>
        <v>ｕｎｉｏｎｓｃU12</v>
      </c>
      <c r="F102" s="476"/>
      <c r="G102" s="476"/>
      <c r="H102" s="476"/>
      <c r="I102" s="476"/>
      <c r="J102" s="476"/>
      <c r="K102" s="476"/>
      <c r="L102" s="476"/>
      <c r="M102" s="476"/>
      <c r="N102" s="476"/>
      <c r="O102" s="58"/>
      <c r="P102" s="58"/>
      <c r="Q102" s="475">
        <v>10</v>
      </c>
      <c r="R102" s="475"/>
      <c r="S102" s="476" t="str">
        <f>U12組合せ!$D23</f>
        <v>昭和・戸祭ＳＣ-S</v>
      </c>
      <c r="T102" s="476"/>
      <c r="U102" s="476"/>
      <c r="V102" s="476"/>
      <c r="W102" s="476"/>
      <c r="X102" s="476"/>
      <c r="Y102" s="476"/>
      <c r="Z102" s="476"/>
      <c r="AA102" s="476"/>
      <c r="AB102" s="476"/>
      <c r="AC102" s="68"/>
      <c r="AD102" s="55"/>
      <c r="AE102" s="475"/>
      <c r="AF102" s="475"/>
      <c r="AG102" s="453"/>
      <c r="AH102" s="454"/>
      <c r="AI102" s="454"/>
      <c r="AJ102" s="454"/>
      <c r="AK102" s="454"/>
      <c r="AL102" s="454"/>
      <c r="AM102" s="454"/>
      <c r="AN102" s="454"/>
      <c r="AO102" s="454"/>
      <c r="AP102" s="455"/>
    </row>
    <row r="103" spans="2:45" ht="15" customHeight="1" x14ac:dyDescent="0.4">
      <c r="C103" s="103"/>
      <c r="D103" s="104"/>
      <c r="E103" s="104"/>
      <c r="F103" s="104"/>
      <c r="G103" s="104"/>
      <c r="H103" s="104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104"/>
      <c r="U103" s="57"/>
      <c r="V103" s="104"/>
      <c r="W103" s="57"/>
      <c r="X103" s="104"/>
      <c r="Y103" s="57"/>
      <c r="Z103" s="104"/>
      <c r="AA103" s="57"/>
      <c r="AB103" s="104"/>
      <c r="AC103" s="104"/>
    </row>
    <row r="104" spans="2:45" ht="21" customHeight="1" x14ac:dyDescent="0.4">
      <c r="B104" s="56" t="s">
        <v>569</v>
      </c>
    </row>
    <row r="105" spans="2:45" ht="20.25" customHeight="1" x14ac:dyDescent="0.4">
      <c r="B105" s="219"/>
      <c r="C105" s="456" t="s">
        <v>25</v>
      </c>
      <c r="D105" s="456"/>
      <c r="E105" s="456"/>
      <c r="F105" s="458" t="s">
        <v>26</v>
      </c>
      <c r="G105" s="459"/>
      <c r="H105" s="459"/>
      <c r="I105" s="459"/>
      <c r="J105" s="456" t="s">
        <v>27</v>
      </c>
      <c r="K105" s="457"/>
      <c r="L105" s="457"/>
      <c r="M105" s="457"/>
      <c r="N105" s="457"/>
      <c r="O105" s="457"/>
      <c r="P105" s="457"/>
      <c r="Q105" s="456" t="s">
        <v>570</v>
      </c>
      <c r="R105" s="456"/>
      <c r="S105" s="456"/>
      <c r="T105" s="456"/>
      <c r="U105" s="456"/>
      <c r="V105" s="456"/>
      <c r="W105" s="456"/>
      <c r="X105" s="456" t="s">
        <v>27</v>
      </c>
      <c r="Y105" s="457"/>
      <c r="Z105" s="457"/>
      <c r="AA105" s="457"/>
      <c r="AB105" s="457"/>
      <c r="AC105" s="457"/>
      <c r="AD105" s="457"/>
      <c r="AE105" s="458" t="s">
        <v>26</v>
      </c>
      <c r="AF105" s="459"/>
      <c r="AG105" s="459"/>
      <c r="AH105" s="459"/>
      <c r="AI105" s="456" t="s">
        <v>29</v>
      </c>
      <c r="AJ105" s="456"/>
      <c r="AK105" s="457"/>
      <c r="AL105" s="457"/>
      <c r="AM105" s="457"/>
      <c r="AN105" s="457"/>
      <c r="AO105" s="457"/>
      <c r="AP105" s="457"/>
    </row>
    <row r="106" spans="2:45" ht="20.100000000000001" customHeight="1" x14ac:dyDescent="0.4">
      <c r="B106" s="471">
        <v>1</v>
      </c>
      <c r="C106" s="449">
        <v>0.375</v>
      </c>
      <c r="D106" s="449"/>
      <c r="E106" s="449"/>
      <c r="F106" s="443"/>
      <c r="G106" s="444"/>
      <c r="H106" s="444"/>
      <c r="I106" s="444"/>
      <c r="J106" s="445" t="str">
        <f>IFERROR(VLOOKUP(AR106,$C$98:$N$102,3,0),"")&amp;IFERROR(VLOOKUP(AR106,$Q$98:$AB$102,3,0),"")</f>
        <v>国本ＪＳＣ</v>
      </c>
      <c r="K106" s="446"/>
      <c r="L106" s="446"/>
      <c r="M106" s="446"/>
      <c r="N106" s="446"/>
      <c r="O106" s="446"/>
      <c r="P106" s="446"/>
      <c r="Q106" s="450" t="str">
        <f>IF(OR(S106="",S107=""),"",S106+S107)</f>
        <v/>
      </c>
      <c r="R106" s="450"/>
      <c r="S106" s="220"/>
      <c r="T106" s="221" t="s">
        <v>30</v>
      </c>
      <c r="U106" s="220"/>
      <c r="V106" s="450" t="str">
        <f>IF(OR(U106="",U107=""),"",U106+U107)</f>
        <v/>
      </c>
      <c r="W106" s="450"/>
      <c r="X106" s="447" t="str">
        <f>IFERROR(VLOOKUP(AS106,$C$98:$N$102,3,0),"")&amp;IFERROR(VLOOKUP(AS106,$Q$98:$AB$102,3,0),"")</f>
        <v>宝木キッカーズ</v>
      </c>
      <c r="Y106" s="448"/>
      <c r="Z106" s="448"/>
      <c r="AA106" s="448"/>
      <c r="AB106" s="448"/>
      <c r="AC106" s="448"/>
      <c r="AD106" s="448"/>
      <c r="AE106" s="443"/>
      <c r="AF106" s="444"/>
      <c r="AG106" s="444"/>
      <c r="AH106" s="444"/>
      <c r="AI106" s="450" t="str">
        <f ca="1">DBCS(INDIRECT("U12対戦スケジュール!ｃ"&amp;(ROW()/2+24)))</f>
        <v>４／８／８／４</v>
      </c>
      <c r="AJ106" s="444"/>
      <c r="AK106" s="444"/>
      <c r="AL106" s="444"/>
      <c r="AM106" s="444"/>
      <c r="AN106" s="444"/>
      <c r="AO106" s="444"/>
      <c r="AP106" s="444"/>
      <c r="AR106" s="56">
        <v>2</v>
      </c>
      <c r="AS106" s="56">
        <v>6</v>
      </c>
    </row>
    <row r="107" spans="2:45" ht="20.100000000000001" customHeight="1" x14ac:dyDescent="0.4">
      <c r="B107" s="471"/>
      <c r="C107" s="449"/>
      <c r="D107" s="449"/>
      <c r="E107" s="449"/>
      <c r="F107" s="444"/>
      <c r="G107" s="444"/>
      <c r="H107" s="444"/>
      <c r="I107" s="444"/>
      <c r="J107" s="446"/>
      <c r="K107" s="446"/>
      <c r="L107" s="446"/>
      <c r="M107" s="446"/>
      <c r="N107" s="446"/>
      <c r="O107" s="446"/>
      <c r="P107" s="446"/>
      <c r="Q107" s="450"/>
      <c r="R107" s="450"/>
      <c r="S107" s="220"/>
      <c r="T107" s="221" t="s">
        <v>30</v>
      </c>
      <c r="U107" s="220"/>
      <c r="V107" s="450"/>
      <c r="W107" s="450"/>
      <c r="X107" s="448"/>
      <c r="Y107" s="448"/>
      <c r="Z107" s="448"/>
      <c r="AA107" s="448"/>
      <c r="AB107" s="448"/>
      <c r="AC107" s="448"/>
      <c r="AD107" s="448"/>
      <c r="AE107" s="444"/>
      <c r="AF107" s="444"/>
      <c r="AG107" s="444"/>
      <c r="AH107" s="444"/>
      <c r="AI107" s="444"/>
      <c r="AJ107" s="444"/>
      <c r="AK107" s="444"/>
      <c r="AL107" s="444"/>
      <c r="AM107" s="444"/>
      <c r="AN107" s="444"/>
      <c r="AO107" s="444"/>
      <c r="AP107" s="444"/>
    </row>
    <row r="108" spans="2:45" ht="20.100000000000001" customHeight="1" x14ac:dyDescent="0.4">
      <c r="B108" s="474">
        <v>2</v>
      </c>
      <c r="C108" s="449">
        <v>0.40277777777777773</v>
      </c>
      <c r="D108" s="449">
        <v>0.4375</v>
      </c>
      <c r="E108" s="449"/>
      <c r="F108" s="443"/>
      <c r="G108" s="444"/>
      <c r="H108" s="444"/>
      <c r="I108" s="444"/>
      <c r="J108" s="445" t="str">
        <f>IFERROR(VLOOKUP(AR108,$C$98:$N$102,3,0),"")&amp;IFERROR(VLOOKUP(AR108,$Q$98:$AB$102,3,0),"")</f>
        <v>ＦＣアリーバ</v>
      </c>
      <c r="K108" s="446"/>
      <c r="L108" s="446"/>
      <c r="M108" s="446"/>
      <c r="N108" s="446"/>
      <c r="O108" s="446"/>
      <c r="P108" s="446"/>
      <c r="Q108" s="450" t="str">
        <f>IF(OR(S108="",S109=""),"",S108+S109)</f>
        <v/>
      </c>
      <c r="R108" s="450"/>
      <c r="S108" s="220"/>
      <c r="T108" s="221" t="s">
        <v>30</v>
      </c>
      <c r="U108" s="220"/>
      <c r="V108" s="450" t="str">
        <f>IF(OR(U108="",U109=""),"",U108+U109)</f>
        <v/>
      </c>
      <c r="W108" s="450"/>
      <c r="X108" s="447" t="str">
        <f>IFERROR(VLOOKUP(AS108,$C$98:$N$102,3,0),"")&amp;IFERROR(VLOOKUP(AS108,$Q$98:$AB$102,3,0),"")</f>
        <v>ブラッドレスＳＳ</v>
      </c>
      <c r="Y108" s="448"/>
      <c r="Z108" s="448"/>
      <c r="AA108" s="448"/>
      <c r="AB108" s="448"/>
      <c r="AC108" s="448"/>
      <c r="AD108" s="448"/>
      <c r="AE108" s="443"/>
      <c r="AF108" s="444"/>
      <c r="AG108" s="444"/>
      <c r="AH108" s="444"/>
      <c r="AI108" s="450" t="str">
        <f t="shared" ref="AI108" ca="1" si="6">DBCS(INDIRECT("U12対戦スケジュール!ｃ"&amp;(ROW()/2+24)))</f>
        <v>２／６／６／２</v>
      </c>
      <c r="AJ108" s="444"/>
      <c r="AK108" s="444"/>
      <c r="AL108" s="444"/>
      <c r="AM108" s="444"/>
      <c r="AN108" s="444"/>
      <c r="AO108" s="444"/>
      <c r="AP108" s="444"/>
      <c r="AR108" s="56">
        <v>4</v>
      </c>
      <c r="AS108" s="56">
        <v>8</v>
      </c>
    </row>
    <row r="109" spans="2:45" ht="20.100000000000001" customHeight="1" x14ac:dyDescent="0.4">
      <c r="B109" s="474"/>
      <c r="C109" s="449"/>
      <c r="D109" s="449"/>
      <c r="E109" s="449"/>
      <c r="F109" s="444"/>
      <c r="G109" s="444"/>
      <c r="H109" s="444"/>
      <c r="I109" s="444"/>
      <c r="J109" s="446"/>
      <c r="K109" s="446"/>
      <c r="L109" s="446"/>
      <c r="M109" s="446"/>
      <c r="N109" s="446"/>
      <c r="O109" s="446"/>
      <c r="P109" s="446"/>
      <c r="Q109" s="450"/>
      <c r="R109" s="450"/>
      <c r="S109" s="220"/>
      <c r="T109" s="221" t="s">
        <v>30</v>
      </c>
      <c r="U109" s="220"/>
      <c r="V109" s="450"/>
      <c r="W109" s="450"/>
      <c r="X109" s="448"/>
      <c r="Y109" s="448"/>
      <c r="Z109" s="448"/>
      <c r="AA109" s="448"/>
      <c r="AB109" s="448"/>
      <c r="AC109" s="448"/>
      <c r="AD109" s="448"/>
      <c r="AE109" s="444"/>
      <c r="AF109" s="444"/>
      <c r="AG109" s="444"/>
      <c r="AH109" s="444"/>
      <c r="AI109" s="444"/>
      <c r="AJ109" s="444"/>
      <c r="AK109" s="444"/>
      <c r="AL109" s="444"/>
      <c r="AM109" s="444"/>
      <c r="AN109" s="444"/>
      <c r="AO109" s="444"/>
      <c r="AP109" s="444"/>
    </row>
    <row r="110" spans="2:45" ht="20.100000000000001" customHeight="1" x14ac:dyDescent="0.4">
      <c r="B110" s="471">
        <v>3</v>
      </c>
      <c r="C110" s="449">
        <v>0.43055555555555558</v>
      </c>
      <c r="D110" s="449"/>
      <c r="E110" s="449"/>
      <c r="F110" s="443"/>
      <c r="G110" s="444"/>
      <c r="H110" s="444"/>
      <c r="I110" s="444"/>
      <c r="J110" s="445" t="str">
        <f>IFERROR(VLOOKUP(AR110,$C$98:$N$102,3,0),"")&amp;IFERROR(VLOOKUP(AR110,$Q$98:$AB$102,3,0),"")</f>
        <v>宝木キッカーズ</v>
      </c>
      <c r="K110" s="446"/>
      <c r="L110" s="446"/>
      <c r="M110" s="446"/>
      <c r="N110" s="446"/>
      <c r="O110" s="446"/>
      <c r="P110" s="446"/>
      <c r="Q110" s="450" t="str">
        <f>IF(OR(S110="",S111=""),"",S110+S111)</f>
        <v/>
      </c>
      <c r="R110" s="450"/>
      <c r="S110" s="220"/>
      <c r="T110" s="221" t="s">
        <v>30</v>
      </c>
      <c r="U110" s="220"/>
      <c r="V110" s="450" t="str">
        <f>IF(OR(U110="",U111=""),"",U110+U111)</f>
        <v/>
      </c>
      <c r="W110" s="450"/>
      <c r="X110" s="447" t="str">
        <f>IFERROR(VLOOKUP(AS110,$C$98:$N$102,3,0),"")&amp;IFERROR(VLOOKUP(AS110,$Q$98:$AB$102,3,0),"")</f>
        <v>昭和・戸祭ＳＣ-S</v>
      </c>
      <c r="Y110" s="448"/>
      <c r="Z110" s="448"/>
      <c r="AA110" s="448"/>
      <c r="AB110" s="448"/>
      <c r="AC110" s="448"/>
      <c r="AD110" s="448"/>
      <c r="AE110" s="443"/>
      <c r="AF110" s="444"/>
      <c r="AG110" s="444"/>
      <c r="AH110" s="444"/>
      <c r="AI110" s="450" t="str">
        <f t="shared" ref="AI110" ca="1" si="7">DBCS(INDIRECT("U12対戦スケジュール!ｃ"&amp;(ROW()/2+24)))</f>
        <v>７／１／１／７</v>
      </c>
      <c r="AJ110" s="444"/>
      <c r="AK110" s="444"/>
      <c r="AL110" s="444"/>
      <c r="AM110" s="444"/>
      <c r="AN110" s="444"/>
      <c r="AO110" s="444"/>
      <c r="AP110" s="444"/>
      <c r="AR110" s="56">
        <v>6</v>
      </c>
      <c r="AS110" s="56">
        <v>10</v>
      </c>
    </row>
    <row r="111" spans="2:45" ht="20.100000000000001" customHeight="1" x14ac:dyDescent="0.4">
      <c r="B111" s="471"/>
      <c r="C111" s="449"/>
      <c r="D111" s="449"/>
      <c r="E111" s="449"/>
      <c r="F111" s="444"/>
      <c r="G111" s="444"/>
      <c r="H111" s="444"/>
      <c r="I111" s="444"/>
      <c r="J111" s="446"/>
      <c r="K111" s="446"/>
      <c r="L111" s="446"/>
      <c r="M111" s="446"/>
      <c r="N111" s="446"/>
      <c r="O111" s="446"/>
      <c r="P111" s="446"/>
      <c r="Q111" s="450"/>
      <c r="R111" s="450"/>
      <c r="S111" s="220"/>
      <c r="T111" s="221" t="s">
        <v>30</v>
      </c>
      <c r="U111" s="220"/>
      <c r="V111" s="450"/>
      <c r="W111" s="450"/>
      <c r="X111" s="448"/>
      <c r="Y111" s="448"/>
      <c r="Z111" s="448"/>
      <c r="AA111" s="448"/>
      <c r="AB111" s="448"/>
      <c r="AC111" s="448"/>
      <c r="AD111" s="448"/>
      <c r="AE111" s="444"/>
      <c r="AF111" s="444"/>
      <c r="AG111" s="444"/>
      <c r="AH111" s="444"/>
      <c r="AI111" s="444"/>
      <c r="AJ111" s="444"/>
      <c r="AK111" s="444"/>
      <c r="AL111" s="444"/>
      <c r="AM111" s="444"/>
      <c r="AN111" s="444"/>
      <c r="AO111" s="444"/>
      <c r="AP111" s="444"/>
    </row>
    <row r="112" spans="2:45" ht="20.100000000000001" customHeight="1" x14ac:dyDescent="0.4">
      <c r="B112" s="471">
        <v>4</v>
      </c>
      <c r="C112" s="449">
        <v>0.45833333333333331</v>
      </c>
      <c r="D112" s="449">
        <v>0.4375</v>
      </c>
      <c r="E112" s="449"/>
      <c r="F112" s="443"/>
      <c r="G112" s="444"/>
      <c r="H112" s="444"/>
      <c r="I112" s="444"/>
      <c r="J112" s="445" t="str">
        <f>IFERROR(VLOOKUP(AR112,$C$98:$N$102,3,0),"")&amp;IFERROR(VLOOKUP(AR112,$Q$98:$AB$102,3,0),"")</f>
        <v>サウス宇都宮ＳＣ</v>
      </c>
      <c r="K112" s="446"/>
      <c r="L112" s="446"/>
      <c r="M112" s="446"/>
      <c r="N112" s="446"/>
      <c r="O112" s="446"/>
      <c r="P112" s="446"/>
      <c r="Q112" s="450" t="str">
        <f>IF(OR(S112="",S113=""),"",S112+S113)</f>
        <v/>
      </c>
      <c r="R112" s="450"/>
      <c r="S112" s="220"/>
      <c r="T112" s="221" t="s">
        <v>30</v>
      </c>
      <c r="U112" s="220"/>
      <c r="V112" s="450" t="str">
        <f>IF(OR(U112="",U113=""),"",U112+U113)</f>
        <v/>
      </c>
      <c r="W112" s="450"/>
      <c r="X112" s="447" t="str">
        <f>IFERROR(VLOOKUP(AS112,$C$98:$N$102,3,0),"")&amp;IFERROR(VLOOKUP(AS112,$Q$98:$AB$102,3,0),"")</f>
        <v>岡西ＦＣ</v>
      </c>
      <c r="Y112" s="448"/>
      <c r="Z112" s="448"/>
      <c r="AA112" s="448"/>
      <c r="AB112" s="448"/>
      <c r="AC112" s="448"/>
      <c r="AD112" s="448"/>
      <c r="AE112" s="443"/>
      <c r="AF112" s="444"/>
      <c r="AG112" s="444"/>
      <c r="AH112" s="444"/>
      <c r="AI112" s="450" t="str">
        <f t="shared" ref="AI112" ca="1" si="8">DBCS(INDIRECT("U12対戦スケジュール!ｃ"&amp;(ROW()/2+24)))</f>
        <v>６／１０／１０／６</v>
      </c>
      <c r="AJ112" s="444"/>
      <c r="AK112" s="444"/>
      <c r="AL112" s="444"/>
      <c r="AM112" s="444"/>
      <c r="AN112" s="444"/>
      <c r="AO112" s="444"/>
      <c r="AP112" s="444"/>
      <c r="AR112" s="56">
        <v>7</v>
      </c>
      <c r="AS112" s="56">
        <v>1</v>
      </c>
    </row>
    <row r="113" spans="1:45" ht="20.100000000000001" customHeight="1" x14ac:dyDescent="0.4">
      <c r="B113" s="471"/>
      <c r="C113" s="449"/>
      <c r="D113" s="449"/>
      <c r="E113" s="449"/>
      <c r="F113" s="444"/>
      <c r="G113" s="444"/>
      <c r="H113" s="444"/>
      <c r="I113" s="444"/>
      <c r="J113" s="446"/>
      <c r="K113" s="446"/>
      <c r="L113" s="446"/>
      <c r="M113" s="446"/>
      <c r="N113" s="446"/>
      <c r="O113" s="446"/>
      <c r="P113" s="446"/>
      <c r="Q113" s="450"/>
      <c r="R113" s="450"/>
      <c r="S113" s="220"/>
      <c r="T113" s="221" t="s">
        <v>30</v>
      </c>
      <c r="U113" s="220"/>
      <c r="V113" s="450"/>
      <c r="W113" s="450"/>
      <c r="X113" s="448"/>
      <c r="Y113" s="448"/>
      <c r="Z113" s="448"/>
      <c r="AA113" s="448"/>
      <c r="AB113" s="448"/>
      <c r="AC113" s="448"/>
      <c r="AD113" s="448"/>
      <c r="AE113" s="444"/>
      <c r="AF113" s="444"/>
      <c r="AG113" s="444"/>
      <c r="AH113" s="444"/>
      <c r="AI113" s="444"/>
      <c r="AJ113" s="444"/>
      <c r="AK113" s="444"/>
      <c r="AL113" s="444"/>
      <c r="AM113" s="444"/>
      <c r="AN113" s="444"/>
      <c r="AO113" s="444"/>
      <c r="AP113" s="444"/>
    </row>
    <row r="114" spans="1:45" ht="20.100000000000001" customHeight="1" x14ac:dyDescent="0.4">
      <c r="B114" s="474">
        <v>5</v>
      </c>
      <c r="C114" s="449">
        <v>0.4861111111111111</v>
      </c>
      <c r="D114" s="449"/>
      <c r="E114" s="449"/>
      <c r="F114" s="443"/>
      <c r="G114" s="444"/>
      <c r="H114" s="444"/>
      <c r="I114" s="444"/>
      <c r="J114" s="445" t="str">
        <f>IFERROR(VLOOKUP(AR114,$C$98:$N$102,3,0),"")&amp;IFERROR(VLOOKUP(AR114,$Q$98:$AB$102,3,0),"")</f>
        <v>ブラッドレスＳＳ</v>
      </c>
      <c r="K114" s="446"/>
      <c r="L114" s="446"/>
      <c r="M114" s="446"/>
      <c r="N114" s="446"/>
      <c r="O114" s="446"/>
      <c r="P114" s="446"/>
      <c r="Q114" s="450" t="str">
        <f>IF(OR(S114="",S115=""),"",S114+S115)</f>
        <v/>
      </c>
      <c r="R114" s="450"/>
      <c r="S114" s="220"/>
      <c r="T114" s="221" t="s">
        <v>30</v>
      </c>
      <c r="U114" s="220"/>
      <c r="V114" s="450" t="str">
        <f>IF(OR(U114="",U115=""),"",U114+U115)</f>
        <v/>
      </c>
      <c r="W114" s="450"/>
      <c r="X114" s="447" t="str">
        <f>IFERROR(VLOOKUP(AS114,$C$98:$N$102,3,0),"")&amp;IFERROR(VLOOKUP(AS114,$Q$98:$AB$102,3,0),"")</f>
        <v>国本ＪＳＣ</v>
      </c>
      <c r="Y114" s="448"/>
      <c r="Z114" s="448"/>
      <c r="AA114" s="448"/>
      <c r="AB114" s="448"/>
      <c r="AC114" s="448"/>
      <c r="AD114" s="448"/>
      <c r="AE114" s="443"/>
      <c r="AF114" s="444"/>
      <c r="AG114" s="444"/>
      <c r="AH114" s="444"/>
      <c r="AI114" s="450" t="str">
        <f t="shared" ref="AI114" ca="1" si="9">DBCS(INDIRECT("U12対戦スケジュール!ｃ"&amp;(ROW()/2+24)))</f>
        <v>１０／４／４／１０</v>
      </c>
      <c r="AJ114" s="444"/>
      <c r="AK114" s="444"/>
      <c r="AL114" s="444"/>
      <c r="AM114" s="444"/>
      <c r="AN114" s="444"/>
      <c r="AO114" s="444"/>
      <c r="AP114" s="444"/>
      <c r="AR114" s="56">
        <v>8</v>
      </c>
      <c r="AS114" s="56">
        <v>2</v>
      </c>
    </row>
    <row r="115" spans="1:45" ht="20.100000000000001" customHeight="1" x14ac:dyDescent="0.4">
      <c r="B115" s="474"/>
      <c r="C115" s="449"/>
      <c r="D115" s="449"/>
      <c r="E115" s="449"/>
      <c r="F115" s="444"/>
      <c r="G115" s="444"/>
      <c r="H115" s="444"/>
      <c r="I115" s="444"/>
      <c r="J115" s="446"/>
      <c r="K115" s="446"/>
      <c r="L115" s="446"/>
      <c r="M115" s="446"/>
      <c r="N115" s="446"/>
      <c r="O115" s="446"/>
      <c r="P115" s="446"/>
      <c r="Q115" s="450"/>
      <c r="R115" s="450"/>
      <c r="S115" s="220"/>
      <c r="T115" s="221" t="s">
        <v>30</v>
      </c>
      <c r="U115" s="220"/>
      <c r="V115" s="450"/>
      <c r="W115" s="450"/>
      <c r="X115" s="448"/>
      <c r="Y115" s="448"/>
      <c r="Z115" s="448"/>
      <c r="AA115" s="448"/>
      <c r="AB115" s="448"/>
      <c r="AC115" s="448"/>
      <c r="AD115" s="448"/>
      <c r="AE115" s="444"/>
      <c r="AF115" s="444"/>
      <c r="AG115" s="444"/>
      <c r="AH115" s="444"/>
      <c r="AI115" s="444"/>
      <c r="AJ115" s="444"/>
      <c r="AK115" s="444"/>
      <c r="AL115" s="444"/>
      <c r="AM115" s="444"/>
      <c r="AN115" s="444"/>
      <c r="AO115" s="444"/>
      <c r="AP115" s="444"/>
    </row>
    <row r="116" spans="1:45" ht="20.100000000000001" customHeight="1" x14ac:dyDescent="0.4">
      <c r="B116" s="471">
        <v>6</v>
      </c>
      <c r="C116" s="449">
        <v>0.51388888888888895</v>
      </c>
      <c r="D116" s="449">
        <v>0.4375</v>
      </c>
      <c r="E116" s="449"/>
      <c r="F116" s="443"/>
      <c r="G116" s="444"/>
      <c r="H116" s="444"/>
      <c r="I116" s="444"/>
      <c r="J116" s="445" t="str">
        <f>IFERROR(VLOOKUP(AR116,$C$98:$N$102,3,0),"")&amp;IFERROR(VLOOKUP(AR116,$Q$98:$AB$102,3,0),"")</f>
        <v>昭和・戸祭ＳＣ-S</v>
      </c>
      <c r="K116" s="446"/>
      <c r="L116" s="446"/>
      <c r="M116" s="446"/>
      <c r="N116" s="446"/>
      <c r="O116" s="446"/>
      <c r="P116" s="446"/>
      <c r="Q116" s="450" t="str">
        <f>IF(OR(S116="",S117=""),"",S116+S117)</f>
        <v/>
      </c>
      <c r="R116" s="450"/>
      <c r="S116" s="220"/>
      <c r="T116" s="221" t="s">
        <v>30</v>
      </c>
      <c r="U116" s="220"/>
      <c r="V116" s="450" t="str">
        <f>IF(OR(U116="",U117=""),"",U116+U117)</f>
        <v/>
      </c>
      <c r="W116" s="450"/>
      <c r="X116" s="447" t="str">
        <f>IFERROR(VLOOKUP(AS116,$C$98:$N$102,3,0),"")&amp;IFERROR(VLOOKUP(AS116,$Q$98:$AB$102,3,0),"")</f>
        <v>ＦＣアリーバ</v>
      </c>
      <c r="Y116" s="448"/>
      <c r="Z116" s="448"/>
      <c r="AA116" s="448"/>
      <c r="AB116" s="448"/>
      <c r="AC116" s="448"/>
      <c r="AD116" s="448"/>
      <c r="AE116" s="443"/>
      <c r="AF116" s="444"/>
      <c r="AG116" s="444"/>
      <c r="AH116" s="444"/>
      <c r="AI116" s="450" t="str">
        <f t="shared" ref="AI116" ca="1" si="10">DBCS(INDIRECT("U12対戦スケジュール!ｃ"&amp;(ROW()/2+24)))</f>
        <v>１／５／５／１</v>
      </c>
      <c r="AJ116" s="444"/>
      <c r="AK116" s="444"/>
      <c r="AL116" s="444"/>
      <c r="AM116" s="444"/>
      <c r="AN116" s="444"/>
      <c r="AO116" s="444"/>
      <c r="AP116" s="444"/>
      <c r="AR116" s="56">
        <v>10</v>
      </c>
      <c r="AS116" s="56">
        <v>4</v>
      </c>
    </row>
    <row r="117" spans="1:45" ht="20.100000000000001" customHeight="1" x14ac:dyDescent="0.4">
      <c r="B117" s="471"/>
      <c r="C117" s="449"/>
      <c r="D117" s="449"/>
      <c r="E117" s="449"/>
      <c r="F117" s="444"/>
      <c r="G117" s="444"/>
      <c r="H117" s="444"/>
      <c r="I117" s="444"/>
      <c r="J117" s="446"/>
      <c r="K117" s="446"/>
      <c r="L117" s="446"/>
      <c r="M117" s="446"/>
      <c r="N117" s="446"/>
      <c r="O117" s="446"/>
      <c r="P117" s="446"/>
      <c r="Q117" s="450"/>
      <c r="R117" s="450"/>
      <c r="S117" s="220"/>
      <c r="T117" s="221" t="s">
        <v>30</v>
      </c>
      <c r="U117" s="220"/>
      <c r="V117" s="450"/>
      <c r="W117" s="450"/>
      <c r="X117" s="448"/>
      <c r="Y117" s="448"/>
      <c r="Z117" s="448"/>
      <c r="AA117" s="448"/>
      <c r="AB117" s="448"/>
      <c r="AC117" s="448"/>
      <c r="AD117" s="448"/>
      <c r="AE117" s="444"/>
      <c r="AF117" s="444"/>
      <c r="AG117" s="444"/>
      <c r="AH117" s="444"/>
      <c r="AI117" s="444"/>
      <c r="AJ117" s="444"/>
      <c r="AK117" s="444"/>
      <c r="AL117" s="444"/>
      <c r="AM117" s="444"/>
      <c r="AN117" s="444"/>
      <c r="AO117" s="444"/>
      <c r="AP117" s="444"/>
    </row>
    <row r="118" spans="1:45" ht="20.100000000000001" customHeight="1" x14ac:dyDescent="0.4">
      <c r="B118" s="471">
        <v>7</v>
      </c>
      <c r="C118" s="449">
        <v>0.54166666666666663</v>
      </c>
      <c r="D118" s="449">
        <v>0.4375</v>
      </c>
      <c r="E118" s="449"/>
      <c r="F118" s="443"/>
      <c r="G118" s="444"/>
      <c r="H118" s="444"/>
      <c r="I118" s="444"/>
      <c r="J118" s="445" t="str">
        <f>IFERROR(VLOOKUP(AR118,$C$98:$N$102,3,0),"")&amp;IFERROR(VLOOKUP(AR118,$Q$98:$AB$102,3,0),"")</f>
        <v>岡西ＦＣ</v>
      </c>
      <c r="K118" s="446"/>
      <c r="L118" s="446"/>
      <c r="M118" s="446"/>
      <c r="N118" s="446"/>
      <c r="O118" s="446"/>
      <c r="P118" s="446"/>
      <c r="Q118" s="450" t="str">
        <f>IF(OR(S118="",S119=""),"",S118+S119)</f>
        <v/>
      </c>
      <c r="R118" s="450"/>
      <c r="S118" s="220"/>
      <c r="T118" s="221" t="s">
        <v>30</v>
      </c>
      <c r="U118" s="220"/>
      <c r="V118" s="450" t="str">
        <f>IF(OR(U118="",U119=""),"",U118+U119)</f>
        <v/>
      </c>
      <c r="W118" s="450"/>
      <c r="X118" s="447" t="str">
        <f>IFERROR(VLOOKUP(AS118,$C$98:$N$102,3,0),"")&amp;IFERROR(VLOOKUP(AS118,$Q$98:$AB$102,3,0),"")</f>
        <v>ｕｎｉｏｎｓｃU12</v>
      </c>
      <c r="Y118" s="448"/>
      <c r="Z118" s="448"/>
      <c r="AA118" s="448"/>
      <c r="AB118" s="448"/>
      <c r="AC118" s="448"/>
      <c r="AD118" s="448"/>
      <c r="AE118" s="443"/>
      <c r="AF118" s="444"/>
      <c r="AG118" s="444"/>
      <c r="AH118" s="444"/>
      <c r="AI118" s="450" t="str">
        <f t="shared" ref="AI118" ca="1" si="11">DBCS(INDIRECT("U12対戦スケジュール!ｃ"&amp;(ROW()/2+24)))</f>
        <v>８／２／２／８</v>
      </c>
      <c r="AJ118" s="444"/>
      <c r="AK118" s="444"/>
      <c r="AL118" s="444"/>
      <c r="AM118" s="444"/>
      <c r="AN118" s="444"/>
      <c r="AO118" s="444"/>
      <c r="AP118" s="444"/>
      <c r="AR118" s="56">
        <v>1</v>
      </c>
      <c r="AS118" s="56">
        <v>5</v>
      </c>
    </row>
    <row r="119" spans="1:45" ht="20.100000000000001" customHeight="1" x14ac:dyDescent="0.4">
      <c r="B119" s="471"/>
      <c r="C119" s="449"/>
      <c r="D119" s="449"/>
      <c r="E119" s="449"/>
      <c r="F119" s="444"/>
      <c r="G119" s="444"/>
      <c r="H119" s="444"/>
      <c r="I119" s="444"/>
      <c r="J119" s="446"/>
      <c r="K119" s="446"/>
      <c r="L119" s="446"/>
      <c r="M119" s="446"/>
      <c r="N119" s="446"/>
      <c r="O119" s="446"/>
      <c r="P119" s="446"/>
      <c r="Q119" s="450"/>
      <c r="R119" s="450"/>
      <c r="S119" s="220"/>
      <c r="T119" s="221" t="s">
        <v>30</v>
      </c>
      <c r="U119" s="220"/>
      <c r="V119" s="450"/>
      <c r="W119" s="450"/>
      <c r="X119" s="448"/>
      <c r="Y119" s="448"/>
      <c r="Z119" s="448"/>
      <c r="AA119" s="448"/>
      <c r="AB119" s="448"/>
      <c r="AC119" s="448"/>
      <c r="AD119" s="448"/>
      <c r="AE119" s="444"/>
      <c r="AF119" s="444"/>
      <c r="AG119" s="444"/>
      <c r="AH119" s="444"/>
      <c r="AI119" s="444"/>
      <c r="AJ119" s="444"/>
      <c r="AK119" s="444"/>
      <c r="AL119" s="444"/>
      <c r="AM119" s="444"/>
      <c r="AN119" s="444"/>
      <c r="AO119" s="444"/>
      <c r="AP119" s="444"/>
    </row>
    <row r="120" spans="1:45" s="55" customFormat="1" ht="15.75" customHeight="1" x14ac:dyDescent="0.4">
      <c r="A120" s="58"/>
      <c r="B120" s="59"/>
      <c r="C120" s="60"/>
      <c r="D120" s="60"/>
      <c r="E120" s="60"/>
      <c r="F120" s="59"/>
      <c r="G120" s="59"/>
      <c r="H120" s="59"/>
      <c r="I120" s="59"/>
      <c r="J120" s="59"/>
      <c r="K120" s="61"/>
      <c r="L120" s="61"/>
      <c r="M120" s="62"/>
      <c r="N120" s="63"/>
      <c r="O120" s="62"/>
      <c r="P120" s="61"/>
      <c r="Q120" s="61"/>
      <c r="R120" s="59"/>
      <c r="S120" s="59"/>
      <c r="T120" s="59"/>
      <c r="U120" s="59"/>
      <c r="V120" s="59"/>
      <c r="W120" s="66"/>
      <c r="X120" s="66"/>
      <c r="Y120" s="66"/>
      <c r="Z120" s="66"/>
      <c r="AA120" s="66"/>
      <c r="AB120" s="66"/>
      <c r="AC120" s="58"/>
    </row>
    <row r="121" spans="1:45" ht="20.25" customHeight="1" x14ac:dyDescent="0.4">
      <c r="D121" s="477" t="s">
        <v>31</v>
      </c>
      <c r="E121" s="477"/>
      <c r="F121" s="477"/>
      <c r="G121" s="477"/>
      <c r="H121" s="477"/>
      <c r="I121" s="477"/>
      <c r="J121" s="477" t="s">
        <v>27</v>
      </c>
      <c r="K121" s="477"/>
      <c r="L121" s="477"/>
      <c r="M121" s="477"/>
      <c r="N121" s="477"/>
      <c r="O121" s="477"/>
      <c r="P121" s="477"/>
      <c r="Q121" s="477"/>
      <c r="R121" s="478" t="s">
        <v>32</v>
      </c>
      <c r="S121" s="478"/>
      <c r="T121" s="478"/>
      <c r="U121" s="478"/>
      <c r="V121" s="478"/>
      <c r="W121" s="478"/>
      <c r="X121" s="478"/>
      <c r="Y121" s="478"/>
      <c r="Z121" s="478"/>
      <c r="AA121" s="479" t="s">
        <v>33</v>
      </c>
      <c r="AB121" s="479"/>
      <c r="AC121" s="479"/>
      <c r="AD121" s="479" t="s">
        <v>34</v>
      </c>
      <c r="AE121" s="479"/>
      <c r="AF121" s="479"/>
      <c r="AG121" s="479"/>
      <c r="AH121" s="479"/>
      <c r="AI121" s="479"/>
      <c r="AJ121" s="479"/>
      <c r="AK121" s="479"/>
      <c r="AL121" s="479"/>
      <c r="AM121" s="479"/>
    </row>
    <row r="122" spans="1:45" ht="30" customHeight="1" x14ac:dyDescent="0.4">
      <c r="D122" s="477" t="s">
        <v>35</v>
      </c>
      <c r="E122" s="477"/>
      <c r="F122" s="477"/>
      <c r="G122" s="477"/>
      <c r="H122" s="477"/>
      <c r="I122" s="477"/>
      <c r="J122" s="477"/>
      <c r="K122" s="477"/>
      <c r="L122" s="477"/>
      <c r="M122" s="477"/>
      <c r="N122" s="477"/>
      <c r="O122" s="477"/>
      <c r="P122" s="477"/>
      <c r="Q122" s="477"/>
      <c r="R122" s="478"/>
      <c r="S122" s="478"/>
      <c r="T122" s="478"/>
      <c r="U122" s="478"/>
      <c r="V122" s="478"/>
      <c r="W122" s="478"/>
      <c r="X122" s="478"/>
      <c r="Y122" s="478"/>
      <c r="Z122" s="478"/>
      <c r="AA122" s="481"/>
      <c r="AB122" s="481"/>
      <c r="AC122" s="481"/>
      <c r="AD122" s="480"/>
      <c r="AE122" s="480"/>
      <c r="AF122" s="480"/>
      <c r="AG122" s="480"/>
      <c r="AH122" s="480"/>
      <c r="AI122" s="480"/>
      <c r="AJ122" s="480"/>
      <c r="AK122" s="480"/>
      <c r="AL122" s="480"/>
      <c r="AM122" s="480"/>
    </row>
    <row r="123" spans="1:45" ht="30" customHeight="1" x14ac:dyDescent="0.4">
      <c r="D123" s="477" t="s">
        <v>35</v>
      </c>
      <c r="E123" s="477"/>
      <c r="F123" s="477"/>
      <c r="G123" s="477"/>
      <c r="H123" s="477"/>
      <c r="I123" s="477"/>
      <c r="J123" s="477"/>
      <c r="K123" s="477"/>
      <c r="L123" s="477"/>
      <c r="M123" s="477"/>
      <c r="N123" s="477"/>
      <c r="O123" s="477"/>
      <c r="P123" s="477"/>
      <c r="Q123" s="477"/>
      <c r="R123" s="478"/>
      <c r="S123" s="478"/>
      <c r="T123" s="478"/>
      <c r="U123" s="478"/>
      <c r="V123" s="478"/>
      <c r="W123" s="478"/>
      <c r="X123" s="478"/>
      <c r="Y123" s="478"/>
      <c r="Z123" s="478"/>
      <c r="AA123" s="479"/>
      <c r="AB123" s="479"/>
      <c r="AC123" s="479"/>
      <c r="AD123" s="480"/>
      <c r="AE123" s="480"/>
      <c r="AF123" s="480"/>
      <c r="AG123" s="480"/>
      <c r="AH123" s="480"/>
      <c r="AI123" s="480"/>
      <c r="AJ123" s="480"/>
      <c r="AK123" s="480"/>
      <c r="AL123" s="480"/>
      <c r="AM123" s="480"/>
    </row>
    <row r="124" spans="1:45" ht="30" customHeight="1" x14ac:dyDescent="0.4">
      <c r="D124" s="477" t="s">
        <v>35</v>
      </c>
      <c r="E124" s="477"/>
      <c r="F124" s="477"/>
      <c r="G124" s="477"/>
      <c r="H124" s="477"/>
      <c r="I124" s="477"/>
      <c r="J124" s="477"/>
      <c r="K124" s="477"/>
      <c r="L124" s="477"/>
      <c r="M124" s="477"/>
      <c r="N124" s="477"/>
      <c r="O124" s="477"/>
      <c r="P124" s="477"/>
      <c r="Q124" s="477"/>
      <c r="R124" s="478"/>
      <c r="S124" s="478"/>
      <c r="T124" s="478"/>
      <c r="U124" s="478"/>
      <c r="V124" s="478"/>
      <c r="W124" s="478"/>
      <c r="X124" s="478"/>
      <c r="Y124" s="478"/>
      <c r="Z124" s="478"/>
      <c r="AA124" s="479"/>
      <c r="AB124" s="479"/>
      <c r="AC124" s="479"/>
      <c r="AD124" s="480"/>
      <c r="AE124" s="480"/>
      <c r="AF124" s="480"/>
      <c r="AG124" s="480"/>
      <c r="AH124" s="480"/>
      <c r="AI124" s="480"/>
      <c r="AJ124" s="480"/>
      <c r="AK124" s="480"/>
      <c r="AL124" s="480"/>
      <c r="AM124" s="480"/>
    </row>
    <row r="125" spans="1:45" ht="14.25" customHeight="1" x14ac:dyDescent="0.4">
      <c r="A125" s="451" t="s">
        <v>555</v>
      </c>
      <c r="B125" s="451"/>
      <c r="C125" s="451"/>
      <c r="D125" s="451"/>
      <c r="E125" s="451"/>
      <c r="F125" s="451"/>
      <c r="G125" s="451"/>
      <c r="H125" s="451"/>
      <c r="I125" s="451"/>
      <c r="J125" s="451"/>
      <c r="K125" s="451"/>
      <c r="L125" s="451"/>
      <c r="M125" s="451"/>
      <c r="N125" s="451"/>
      <c r="O125" s="451"/>
      <c r="P125" s="451"/>
      <c r="Q125" s="451"/>
      <c r="R125" s="451"/>
      <c r="S125" s="451"/>
      <c r="T125" s="451"/>
      <c r="U125" s="451"/>
      <c r="V125" s="451"/>
      <c r="W125" s="451"/>
      <c r="X125" s="451"/>
      <c r="Y125" s="451"/>
      <c r="Z125" s="451"/>
      <c r="AA125" s="451"/>
      <c r="AB125" s="451"/>
      <c r="AC125" s="451"/>
      <c r="AD125" s="451"/>
      <c r="AE125" s="451"/>
      <c r="AF125" s="451"/>
      <c r="AG125" s="451"/>
      <c r="AH125" s="451"/>
      <c r="AI125" s="451"/>
      <c r="AJ125" s="451"/>
      <c r="AK125" s="451"/>
      <c r="AL125" s="451"/>
      <c r="AM125" s="451"/>
      <c r="AN125" s="451"/>
      <c r="AO125" s="451"/>
      <c r="AP125" s="451"/>
      <c r="AQ125" s="451"/>
      <c r="AR125" s="136"/>
      <c r="AS125" s="136"/>
    </row>
    <row r="126" spans="1:45" ht="14.25" customHeight="1" x14ac:dyDescent="0.4">
      <c r="A126" s="451"/>
      <c r="B126" s="451"/>
      <c r="C126" s="451"/>
      <c r="D126" s="451"/>
      <c r="E126" s="451"/>
      <c r="F126" s="451"/>
      <c r="G126" s="451"/>
      <c r="H126" s="451"/>
      <c r="I126" s="451"/>
      <c r="J126" s="451"/>
      <c r="K126" s="451"/>
      <c r="L126" s="451"/>
      <c r="M126" s="451"/>
      <c r="N126" s="451"/>
      <c r="O126" s="451"/>
      <c r="P126" s="451"/>
      <c r="Q126" s="451"/>
      <c r="R126" s="451"/>
      <c r="S126" s="451"/>
      <c r="T126" s="451"/>
      <c r="U126" s="451"/>
      <c r="V126" s="451"/>
      <c r="W126" s="451"/>
      <c r="X126" s="451"/>
      <c r="Y126" s="451"/>
      <c r="Z126" s="451"/>
      <c r="AA126" s="451"/>
      <c r="AB126" s="451"/>
      <c r="AC126" s="451"/>
      <c r="AD126" s="451"/>
      <c r="AE126" s="451"/>
      <c r="AF126" s="451"/>
      <c r="AG126" s="451"/>
      <c r="AH126" s="451"/>
      <c r="AI126" s="451"/>
      <c r="AJ126" s="451"/>
      <c r="AK126" s="451"/>
      <c r="AL126" s="451"/>
      <c r="AM126" s="451"/>
      <c r="AN126" s="451"/>
      <c r="AO126" s="451"/>
      <c r="AP126" s="451"/>
      <c r="AQ126" s="451"/>
      <c r="AR126" s="136"/>
      <c r="AS126" s="136"/>
    </row>
    <row r="127" spans="1:45" ht="27.75" customHeight="1" x14ac:dyDescent="0.4">
      <c r="C127" s="460" t="s">
        <v>8</v>
      </c>
      <c r="D127" s="460"/>
      <c r="E127" s="460"/>
      <c r="F127" s="460"/>
      <c r="G127" s="461" t="str">
        <f>U12対戦スケジュール!B97</f>
        <v>石井緑地 No.１</v>
      </c>
      <c r="H127" s="462"/>
      <c r="I127" s="462"/>
      <c r="J127" s="462"/>
      <c r="K127" s="462"/>
      <c r="L127" s="462"/>
      <c r="M127" s="462"/>
      <c r="N127" s="462"/>
      <c r="O127" s="462"/>
      <c r="P127" s="460" t="s">
        <v>0</v>
      </c>
      <c r="Q127" s="460"/>
      <c r="R127" s="460"/>
      <c r="S127" s="460"/>
      <c r="T127" s="482" t="str">
        <f>U12対戦スケジュール!B98</f>
        <v>カテット白沢U11</v>
      </c>
      <c r="U127" s="483"/>
      <c r="V127" s="483"/>
      <c r="W127" s="483"/>
      <c r="X127" s="483"/>
      <c r="Y127" s="483"/>
      <c r="Z127" s="483"/>
      <c r="AA127" s="483"/>
      <c r="AB127" s="483"/>
      <c r="AC127" s="460" t="s">
        <v>9</v>
      </c>
      <c r="AD127" s="460"/>
      <c r="AE127" s="460"/>
      <c r="AF127" s="460"/>
      <c r="AG127" s="484">
        <f>U12組合せ!$B48</f>
        <v>43785</v>
      </c>
      <c r="AH127" s="485"/>
      <c r="AI127" s="485"/>
      <c r="AJ127" s="485"/>
      <c r="AK127" s="485"/>
      <c r="AL127" s="485"/>
      <c r="AM127" s="486" t="str">
        <f>"（"&amp;TEXT(AG127,"aaa")&amp;"）"</f>
        <v>（土）</v>
      </c>
      <c r="AN127" s="486"/>
      <c r="AO127" s="487"/>
    </row>
    <row r="128" spans="1:45" ht="15" customHeight="1" x14ac:dyDescent="0.4"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64"/>
      <c r="X128" s="64"/>
      <c r="Y128" s="64"/>
      <c r="Z128" s="64"/>
      <c r="AA128" s="64"/>
      <c r="AB128" s="64"/>
      <c r="AC128" s="64"/>
    </row>
    <row r="129" spans="2:45" ht="18" customHeight="1" x14ac:dyDescent="0.4">
      <c r="C129" s="475">
        <v>1</v>
      </c>
      <c r="D129" s="475"/>
      <c r="E129" s="476" t="str">
        <f>U12組合せ!$D14</f>
        <v>岡西ＦＣ</v>
      </c>
      <c r="F129" s="476"/>
      <c r="G129" s="476"/>
      <c r="H129" s="476"/>
      <c r="I129" s="476"/>
      <c r="J129" s="476"/>
      <c r="K129" s="476"/>
      <c r="L129" s="476"/>
      <c r="M129" s="476"/>
      <c r="N129" s="476"/>
      <c r="O129" s="58"/>
      <c r="P129" s="58"/>
      <c r="Q129" s="475">
        <v>6</v>
      </c>
      <c r="R129" s="475"/>
      <c r="S129" s="476" t="str">
        <f>U12組合せ!$D19</f>
        <v>宝木キッカーズ</v>
      </c>
      <c r="T129" s="476"/>
      <c r="U129" s="476"/>
      <c r="V129" s="476"/>
      <c r="W129" s="476"/>
      <c r="X129" s="476"/>
      <c r="Y129" s="476"/>
      <c r="Z129" s="476"/>
      <c r="AA129" s="476"/>
      <c r="AB129" s="476"/>
      <c r="AC129" s="68"/>
      <c r="AD129" s="55"/>
      <c r="AE129" s="475"/>
      <c r="AF129" s="475"/>
      <c r="AG129" s="476"/>
      <c r="AH129" s="476"/>
      <c r="AI129" s="476"/>
      <c r="AJ129" s="476"/>
      <c r="AK129" s="476"/>
      <c r="AL129" s="476"/>
      <c r="AM129" s="476"/>
      <c r="AN129" s="476"/>
      <c r="AO129" s="476"/>
      <c r="AP129" s="476"/>
    </row>
    <row r="130" spans="2:45" ht="18" customHeight="1" x14ac:dyDescent="0.4">
      <c r="C130" s="475">
        <v>2</v>
      </c>
      <c r="D130" s="475"/>
      <c r="E130" s="476" t="str">
        <f>U12組合せ!$D15</f>
        <v>国本ＪＳＣ</v>
      </c>
      <c r="F130" s="476"/>
      <c r="G130" s="476"/>
      <c r="H130" s="476"/>
      <c r="I130" s="476"/>
      <c r="J130" s="476"/>
      <c r="K130" s="476"/>
      <c r="L130" s="476"/>
      <c r="M130" s="476"/>
      <c r="N130" s="476"/>
      <c r="O130" s="58"/>
      <c r="P130" s="58"/>
      <c r="Q130" s="475">
        <v>7</v>
      </c>
      <c r="R130" s="475"/>
      <c r="S130" s="476" t="str">
        <f>U12組合せ!$D20</f>
        <v>サウス宇都宮ＳＣ</v>
      </c>
      <c r="T130" s="476"/>
      <c r="U130" s="476"/>
      <c r="V130" s="476"/>
      <c r="W130" s="476"/>
      <c r="X130" s="476"/>
      <c r="Y130" s="476"/>
      <c r="Z130" s="476"/>
      <c r="AA130" s="476"/>
      <c r="AB130" s="476"/>
      <c r="AC130" s="68"/>
      <c r="AD130" s="55"/>
      <c r="AE130" s="475"/>
      <c r="AF130" s="475"/>
      <c r="AG130" s="476"/>
      <c r="AH130" s="476"/>
      <c r="AI130" s="476"/>
      <c r="AJ130" s="476"/>
      <c r="AK130" s="476"/>
      <c r="AL130" s="476"/>
      <c r="AM130" s="476"/>
      <c r="AN130" s="476"/>
      <c r="AO130" s="476"/>
      <c r="AP130" s="476"/>
    </row>
    <row r="131" spans="2:45" ht="18" customHeight="1" x14ac:dyDescent="0.4">
      <c r="C131" s="475">
        <v>3</v>
      </c>
      <c r="D131" s="475"/>
      <c r="E131" s="476" t="str">
        <f>U12組合せ!$D16</f>
        <v>カテット白沢U11</v>
      </c>
      <c r="F131" s="476"/>
      <c r="G131" s="476"/>
      <c r="H131" s="476"/>
      <c r="I131" s="476"/>
      <c r="J131" s="476"/>
      <c r="K131" s="476"/>
      <c r="L131" s="476"/>
      <c r="M131" s="476"/>
      <c r="N131" s="476"/>
      <c r="O131" s="58"/>
      <c r="P131" s="58"/>
      <c r="Q131" s="475">
        <v>8</v>
      </c>
      <c r="R131" s="475"/>
      <c r="S131" s="476" t="str">
        <f>U12組合せ!$D21</f>
        <v>ブラッドレスＳＳ</v>
      </c>
      <c r="T131" s="476"/>
      <c r="U131" s="476"/>
      <c r="V131" s="476"/>
      <c r="W131" s="476"/>
      <c r="X131" s="476"/>
      <c r="Y131" s="476"/>
      <c r="Z131" s="476"/>
      <c r="AA131" s="476"/>
      <c r="AB131" s="476"/>
      <c r="AC131" s="68"/>
      <c r="AD131" s="55"/>
      <c r="AE131" s="475"/>
      <c r="AF131" s="475"/>
      <c r="AG131" s="476"/>
      <c r="AH131" s="476"/>
      <c r="AI131" s="476"/>
      <c r="AJ131" s="476"/>
      <c r="AK131" s="476"/>
      <c r="AL131" s="476"/>
      <c r="AM131" s="476"/>
      <c r="AN131" s="476"/>
      <c r="AO131" s="476"/>
      <c r="AP131" s="476"/>
    </row>
    <row r="132" spans="2:45" ht="18" customHeight="1" x14ac:dyDescent="0.4">
      <c r="C132" s="475">
        <v>4</v>
      </c>
      <c r="D132" s="475"/>
      <c r="E132" s="476" t="str">
        <f>U12組合せ!$D17</f>
        <v>ＦＣアリーバ</v>
      </c>
      <c r="F132" s="476"/>
      <c r="G132" s="476"/>
      <c r="H132" s="476"/>
      <c r="I132" s="476"/>
      <c r="J132" s="476"/>
      <c r="K132" s="476"/>
      <c r="L132" s="476"/>
      <c r="M132" s="476"/>
      <c r="N132" s="476"/>
      <c r="O132" s="58"/>
      <c r="P132" s="58"/>
      <c r="Q132" s="475">
        <v>9</v>
      </c>
      <c r="R132" s="475"/>
      <c r="S132" s="476" t="str">
        <f>U12組合せ!$D22</f>
        <v>泉ＦＣ宇都宮</v>
      </c>
      <c r="T132" s="476"/>
      <c r="U132" s="476"/>
      <c r="V132" s="476"/>
      <c r="W132" s="476"/>
      <c r="X132" s="476"/>
      <c r="Y132" s="476"/>
      <c r="Z132" s="476"/>
      <c r="AA132" s="476"/>
      <c r="AB132" s="476"/>
      <c r="AC132" s="68"/>
      <c r="AD132" s="58"/>
      <c r="AE132" s="475"/>
      <c r="AF132" s="475"/>
      <c r="AG132" s="476"/>
      <c r="AH132" s="476"/>
      <c r="AI132" s="476"/>
      <c r="AJ132" s="476"/>
      <c r="AK132" s="476"/>
      <c r="AL132" s="476"/>
      <c r="AM132" s="476"/>
      <c r="AN132" s="476"/>
      <c r="AO132" s="476"/>
      <c r="AP132" s="476"/>
    </row>
    <row r="133" spans="2:45" ht="18" customHeight="1" x14ac:dyDescent="0.4">
      <c r="C133" s="475">
        <v>5</v>
      </c>
      <c r="D133" s="475"/>
      <c r="E133" s="476" t="str">
        <f>U12組合せ!$D18</f>
        <v>ｕｎｉｏｎｓｃU12</v>
      </c>
      <c r="F133" s="476"/>
      <c r="G133" s="476"/>
      <c r="H133" s="476"/>
      <c r="I133" s="476"/>
      <c r="J133" s="476"/>
      <c r="K133" s="476"/>
      <c r="L133" s="476"/>
      <c r="M133" s="476"/>
      <c r="N133" s="476"/>
      <c r="O133" s="58"/>
      <c r="P133" s="58"/>
      <c r="Q133" s="475">
        <v>10</v>
      </c>
      <c r="R133" s="475"/>
      <c r="S133" s="476" t="str">
        <f>U12組合せ!$D23</f>
        <v>昭和・戸祭ＳＣ-S</v>
      </c>
      <c r="T133" s="476"/>
      <c r="U133" s="476"/>
      <c r="V133" s="476"/>
      <c r="W133" s="476"/>
      <c r="X133" s="476"/>
      <c r="Y133" s="476"/>
      <c r="Z133" s="476"/>
      <c r="AA133" s="476"/>
      <c r="AB133" s="476"/>
      <c r="AC133" s="68"/>
      <c r="AD133" s="55"/>
      <c r="AE133" s="475"/>
      <c r="AF133" s="475"/>
      <c r="AG133" s="453"/>
      <c r="AH133" s="454"/>
      <c r="AI133" s="454"/>
      <c r="AJ133" s="454"/>
      <c r="AK133" s="454"/>
      <c r="AL133" s="454"/>
      <c r="AM133" s="454"/>
      <c r="AN133" s="454"/>
      <c r="AO133" s="454"/>
      <c r="AP133" s="455"/>
    </row>
    <row r="134" spans="2:45" ht="15" customHeight="1" x14ac:dyDescent="0.4">
      <c r="C134" s="103"/>
      <c r="D134" s="104"/>
      <c r="E134" s="104"/>
      <c r="F134" s="104"/>
      <c r="G134" s="104"/>
      <c r="H134" s="104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104"/>
      <c r="U134" s="57"/>
      <c r="V134" s="104"/>
      <c r="W134" s="57"/>
      <c r="X134" s="104"/>
      <c r="Y134" s="57"/>
      <c r="Z134" s="104"/>
      <c r="AA134" s="57"/>
      <c r="AB134" s="104"/>
      <c r="AC134" s="104"/>
    </row>
    <row r="135" spans="2:45" ht="21" customHeight="1" x14ac:dyDescent="0.4">
      <c r="B135" s="56" t="s">
        <v>569</v>
      </c>
    </row>
    <row r="136" spans="2:45" ht="20.25" customHeight="1" x14ac:dyDescent="0.4">
      <c r="B136" s="219"/>
      <c r="C136" s="456" t="s">
        <v>25</v>
      </c>
      <c r="D136" s="456"/>
      <c r="E136" s="456"/>
      <c r="F136" s="458" t="s">
        <v>26</v>
      </c>
      <c r="G136" s="459"/>
      <c r="H136" s="459"/>
      <c r="I136" s="459"/>
      <c r="J136" s="456" t="s">
        <v>27</v>
      </c>
      <c r="K136" s="457"/>
      <c r="L136" s="457"/>
      <c r="M136" s="457"/>
      <c r="N136" s="457"/>
      <c r="O136" s="457"/>
      <c r="P136" s="457"/>
      <c r="Q136" s="456" t="s">
        <v>570</v>
      </c>
      <c r="R136" s="456"/>
      <c r="S136" s="456"/>
      <c r="T136" s="456"/>
      <c r="U136" s="456"/>
      <c r="V136" s="456"/>
      <c r="W136" s="456"/>
      <c r="X136" s="456" t="s">
        <v>27</v>
      </c>
      <c r="Y136" s="457"/>
      <c r="Z136" s="457"/>
      <c r="AA136" s="457"/>
      <c r="AB136" s="457"/>
      <c r="AC136" s="457"/>
      <c r="AD136" s="457"/>
      <c r="AE136" s="458" t="s">
        <v>26</v>
      </c>
      <c r="AF136" s="459"/>
      <c r="AG136" s="459"/>
      <c r="AH136" s="459"/>
      <c r="AI136" s="456" t="s">
        <v>29</v>
      </c>
      <c r="AJ136" s="456"/>
      <c r="AK136" s="457"/>
      <c r="AL136" s="457"/>
      <c r="AM136" s="457"/>
      <c r="AN136" s="457"/>
      <c r="AO136" s="457"/>
      <c r="AP136" s="457"/>
    </row>
    <row r="137" spans="2:45" ht="20.100000000000001" customHeight="1" x14ac:dyDescent="0.4">
      <c r="B137" s="472">
        <v>1</v>
      </c>
      <c r="C137" s="449">
        <v>0.375</v>
      </c>
      <c r="D137" s="449"/>
      <c r="E137" s="449"/>
      <c r="F137" s="443"/>
      <c r="G137" s="444"/>
      <c r="H137" s="444"/>
      <c r="I137" s="444"/>
      <c r="J137" s="445" t="str">
        <f>IFERROR(VLOOKUP(AR137,$C$129:$N$133,3,0),"")&amp;IFERROR(VLOOKUP(AR137,$Q$129:$AB$133,3,0),"")</f>
        <v>国本ＪＳＣ</v>
      </c>
      <c r="K137" s="446"/>
      <c r="L137" s="446"/>
      <c r="M137" s="446"/>
      <c r="N137" s="446"/>
      <c r="O137" s="446"/>
      <c r="P137" s="446"/>
      <c r="Q137" s="450" t="str">
        <f t="shared" ref="Q137:Q141" si="12">IF(OR(S137="",S138=""),"",S137+S138)</f>
        <v/>
      </c>
      <c r="R137" s="450"/>
      <c r="S137" s="220"/>
      <c r="T137" s="221" t="s">
        <v>30</v>
      </c>
      <c r="U137" s="220"/>
      <c r="V137" s="450" t="str">
        <f t="shared" ref="V137:V141" si="13">IF(OR(U137="",U138=""),"",U137+U138)</f>
        <v/>
      </c>
      <c r="W137" s="450"/>
      <c r="X137" s="447" t="str">
        <f>IFERROR(VLOOKUP(AS137,$C$129:$N$133,3,0),"")&amp;IFERROR(VLOOKUP(AS137,$Q$129:$AB$133,3,0),"")</f>
        <v>サウス宇都宮ＳＣ</v>
      </c>
      <c r="Y137" s="448"/>
      <c r="Z137" s="448"/>
      <c r="AA137" s="448"/>
      <c r="AB137" s="448"/>
      <c r="AC137" s="448"/>
      <c r="AD137" s="448"/>
      <c r="AE137" s="443"/>
      <c r="AF137" s="444"/>
      <c r="AG137" s="444"/>
      <c r="AH137" s="444"/>
      <c r="AI137" s="450" t="str">
        <f ca="1">DBCS(INDIRECT("U12対戦スケジュール!C"&amp;(ROW()-1)/2+31))</f>
        <v>３／８／８／３</v>
      </c>
      <c r="AJ137" s="444"/>
      <c r="AK137" s="444"/>
      <c r="AL137" s="444"/>
      <c r="AM137" s="444"/>
      <c r="AN137" s="444"/>
      <c r="AO137" s="444"/>
      <c r="AP137" s="444"/>
      <c r="AR137" s="56">
        <v>2</v>
      </c>
      <c r="AS137" s="56">
        <v>7</v>
      </c>
    </row>
    <row r="138" spans="2:45" ht="20.100000000000001" customHeight="1" x14ac:dyDescent="0.4">
      <c r="B138" s="472"/>
      <c r="C138" s="449"/>
      <c r="D138" s="449"/>
      <c r="E138" s="449"/>
      <c r="F138" s="444"/>
      <c r="G138" s="444"/>
      <c r="H138" s="444"/>
      <c r="I138" s="444"/>
      <c r="J138" s="446"/>
      <c r="K138" s="446"/>
      <c r="L138" s="446"/>
      <c r="M138" s="446"/>
      <c r="N138" s="446"/>
      <c r="O138" s="446"/>
      <c r="P138" s="446"/>
      <c r="Q138" s="450"/>
      <c r="R138" s="450"/>
      <c r="S138" s="220"/>
      <c r="T138" s="221" t="s">
        <v>30</v>
      </c>
      <c r="U138" s="220"/>
      <c r="V138" s="450"/>
      <c r="W138" s="450"/>
      <c r="X138" s="448"/>
      <c r="Y138" s="448"/>
      <c r="Z138" s="448"/>
      <c r="AA138" s="448"/>
      <c r="AB138" s="448"/>
      <c r="AC138" s="448"/>
      <c r="AD138" s="448"/>
      <c r="AE138" s="444"/>
      <c r="AF138" s="444"/>
      <c r="AG138" s="444"/>
      <c r="AH138" s="444"/>
      <c r="AI138" s="444"/>
      <c r="AJ138" s="444"/>
      <c r="AK138" s="444"/>
      <c r="AL138" s="444"/>
      <c r="AM138" s="444"/>
      <c r="AN138" s="444"/>
      <c r="AO138" s="444"/>
      <c r="AP138" s="444"/>
    </row>
    <row r="139" spans="2:45" ht="20.100000000000001" customHeight="1" x14ac:dyDescent="0.4">
      <c r="B139" s="472">
        <v>2</v>
      </c>
      <c r="C139" s="449">
        <v>0.40277777777777773</v>
      </c>
      <c r="D139" s="449">
        <v>0.4375</v>
      </c>
      <c r="E139" s="449"/>
      <c r="F139" s="443"/>
      <c r="G139" s="444"/>
      <c r="H139" s="444"/>
      <c r="I139" s="444"/>
      <c r="J139" s="445" t="str">
        <f t="shared" ref="J139" si="14">IFERROR(VLOOKUP(AR139,$C$129:$N$133,3,0),"")&amp;IFERROR(VLOOKUP(AR139,$Q$129:$AB$133,3,0),"")</f>
        <v>カテット白沢U11</v>
      </c>
      <c r="K139" s="446"/>
      <c r="L139" s="446"/>
      <c r="M139" s="446"/>
      <c r="N139" s="446"/>
      <c r="O139" s="446"/>
      <c r="P139" s="446"/>
      <c r="Q139" s="450" t="str">
        <f t="shared" si="12"/>
        <v/>
      </c>
      <c r="R139" s="450"/>
      <c r="S139" s="220"/>
      <c r="T139" s="221" t="s">
        <v>30</v>
      </c>
      <c r="U139" s="220"/>
      <c r="V139" s="450" t="str">
        <f t="shared" si="13"/>
        <v/>
      </c>
      <c r="W139" s="450"/>
      <c r="X139" s="447" t="str">
        <f t="shared" ref="X139" si="15">IFERROR(VLOOKUP(AS139,$C$129:$N$133,3,0),"")&amp;IFERROR(VLOOKUP(AS139,$Q$129:$AB$133,3,0),"")</f>
        <v>ブラッドレスＳＳ</v>
      </c>
      <c r="Y139" s="448"/>
      <c r="Z139" s="448"/>
      <c r="AA139" s="448"/>
      <c r="AB139" s="448"/>
      <c r="AC139" s="448"/>
      <c r="AD139" s="448"/>
      <c r="AE139" s="443"/>
      <c r="AF139" s="444"/>
      <c r="AG139" s="444"/>
      <c r="AH139" s="444"/>
      <c r="AI139" s="450" t="str">
        <f t="shared" ref="AI139" ca="1" si="16">DBCS(INDIRECT("U12対戦スケジュール!C"&amp;(ROW()-1)/2+31))</f>
        <v>２／７／７／２</v>
      </c>
      <c r="AJ139" s="444"/>
      <c r="AK139" s="444"/>
      <c r="AL139" s="444"/>
      <c r="AM139" s="444"/>
      <c r="AN139" s="444"/>
      <c r="AO139" s="444"/>
      <c r="AP139" s="444"/>
      <c r="AR139" s="56">
        <v>3</v>
      </c>
      <c r="AS139" s="56">
        <v>8</v>
      </c>
    </row>
    <row r="140" spans="2:45" ht="20.100000000000001" customHeight="1" x14ac:dyDescent="0.4">
      <c r="B140" s="472"/>
      <c r="C140" s="449"/>
      <c r="D140" s="449"/>
      <c r="E140" s="449"/>
      <c r="F140" s="444"/>
      <c r="G140" s="444"/>
      <c r="H140" s="444"/>
      <c r="I140" s="444"/>
      <c r="J140" s="446"/>
      <c r="K140" s="446"/>
      <c r="L140" s="446"/>
      <c r="M140" s="446"/>
      <c r="N140" s="446"/>
      <c r="O140" s="446"/>
      <c r="P140" s="446"/>
      <c r="Q140" s="450"/>
      <c r="R140" s="450"/>
      <c r="S140" s="220"/>
      <c r="T140" s="221" t="s">
        <v>30</v>
      </c>
      <c r="U140" s="220"/>
      <c r="V140" s="450"/>
      <c r="W140" s="450"/>
      <c r="X140" s="448"/>
      <c r="Y140" s="448"/>
      <c r="Z140" s="448"/>
      <c r="AA140" s="448"/>
      <c r="AB140" s="448"/>
      <c r="AC140" s="448"/>
      <c r="AD140" s="448"/>
      <c r="AE140" s="444"/>
      <c r="AF140" s="444"/>
      <c r="AG140" s="444"/>
      <c r="AH140" s="444"/>
      <c r="AI140" s="444"/>
      <c r="AJ140" s="444"/>
      <c r="AK140" s="444"/>
      <c r="AL140" s="444"/>
      <c r="AM140" s="444"/>
      <c r="AN140" s="444"/>
      <c r="AO140" s="444"/>
      <c r="AP140" s="444"/>
    </row>
    <row r="141" spans="2:45" ht="20.100000000000001" customHeight="1" x14ac:dyDescent="0.4">
      <c r="B141" s="472">
        <v>3</v>
      </c>
      <c r="C141" s="449">
        <v>0.43055555555555558</v>
      </c>
      <c r="D141" s="449"/>
      <c r="E141" s="449"/>
      <c r="F141" s="443"/>
      <c r="G141" s="444"/>
      <c r="H141" s="444"/>
      <c r="I141" s="444"/>
      <c r="J141" s="445" t="str">
        <f t="shared" ref="J141" si="17">IFERROR(VLOOKUP(AR141,$C$129:$N$133,3,0),"")&amp;IFERROR(VLOOKUP(AR141,$Q$129:$AB$133,3,0),"")</f>
        <v>ＦＣアリーバ</v>
      </c>
      <c r="K141" s="446"/>
      <c r="L141" s="446"/>
      <c r="M141" s="446"/>
      <c r="N141" s="446"/>
      <c r="O141" s="446"/>
      <c r="P141" s="446"/>
      <c r="Q141" s="450" t="str">
        <f t="shared" si="12"/>
        <v/>
      </c>
      <c r="R141" s="450"/>
      <c r="S141" s="220"/>
      <c r="T141" s="221" t="s">
        <v>30</v>
      </c>
      <c r="U141" s="220"/>
      <c r="V141" s="450" t="str">
        <f t="shared" si="13"/>
        <v/>
      </c>
      <c r="W141" s="450"/>
      <c r="X141" s="447" t="str">
        <f t="shared" ref="X141" si="18">IFERROR(VLOOKUP(AS141,$C$129:$N$133,3,0),"")&amp;IFERROR(VLOOKUP(AS141,$Q$129:$AB$133,3,0),"")</f>
        <v>泉ＦＣ宇都宮</v>
      </c>
      <c r="Y141" s="448"/>
      <c r="Z141" s="448"/>
      <c r="AA141" s="448"/>
      <c r="AB141" s="448"/>
      <c r="AC141" s="448"/>
      <c r="AD141" s="448"/>
      <c r="AE141" s="443"/>
      <c r="AF141" s="444"/>
      <c r="AG141" s="444"/>
      <c r="AH141" s="444"/>
      <c r="AI141" s="450" t="str">
        <f t="shared" ref="AI141" ca="1" si="19">DBCS(INDIRECT("U12対戦スケジュール!C"&amp;(ROW()-1)/2+31))</f>
        <v>５／１０／１０／５</v>
      </c>
      <c r="AJ141" s="444"/>
      <c r="AK141" s="444"/>
      <c r="AL141" s="444"/>
      <c r="AM141" s="444"/>
      <c r="AN141" s="444"/>
      <c r="AO141" s="444"/>
      <c r="AP141" s="444"/>
      <c r="AR141" s="56">
        <v>4</v>
      </c>
      <c r="AS141" s="56">
        <v>9</v>
      </c>
    </row>
    <row r="142" spans="2:45" ht="20.100000000000001" customHeight="1" x14ac:dyDescent="0.4">
      <c r="B142" s="472"/>
      <c r="C142" s="449"/>
      <c r="D142" s="449"/>
      <c r="E142" s="449"/>
      <c r="F142" s="444"/>
      <c r="G142" s="444"/>
      <c r="H142" s="444"/>
      <c r="I142" s="444"/>
      <c r="J142" s="446"/>
      <c r="K142" s="446"/>
      <c r="L142" s="446"/>
      <c r="M142" s="446"/>
      <c r="N142" s="446"/>
      <c r="O142" s="446"/>
      <c r="P142" s="446"/>
      <c r="Q142" s="450"/>
      <c r="R142" s="450"/>
      <c r="S142" s="220"/>
      <c r="T142" s="221" t="s">
        <v>30</v>
      </c>
      <c r="U142" s="220"/>
      <c r="V142" s="450"/>
      <c r="W142" s="450"/>
      <c r="X142" s="448"/>
      <c r="Y142" s="448"/>
      <c r="Z142" s="448"/>
      <c r="AA142" s="448"/>
      <c r="AB142" s="448"/>
      <c r="AC142" s="448"/>
      <c r="AD142" s="448"/>
      <c r="AE142" s="444"/>
      <c r="AF142" s="444"/>
      <c r="AG142" s="444"/>
      <c r="AH142" s="444"/>
      <c r="AI142" s="444"/>
      <c r="AJ142" s="444"/>
      <c r="AK142" s="444"/>
      <c r="AL142" s="444"/>
      <c r="AM142" s="444"/>
      <c r="AN142" s="444"/>
      <c r="AO142" s="444"/>
      <c r="AP142" s="444"/>
    </row>
    <row r="143" spans="2:45" ht="20.100000000000001" customHeight="1" x14ac:dyDescent="0.4">
      <c r="B143" s="472">
        <v>4</v>
      </c>
      <c r="C143" s="449">
        <v>0.45833333333333331</v>
      </c>
      <c r="D143" s="449">
        <v>0.4375</v>
      </c>
      <c r="E143" s="449"/>
      <c r="F143" s="443"/>
      <c r="G143" s="444"/>
      <c r="H143" s="444"/>
      <c r="I143" s="444"/>
      <c r="J143" s="445" t="str">
        <f t="shared" ref="J143" si="20">IFERROR(VLOOKUP(AR143,$C$129:$N$133,3,0),"")&amp;IFERROR(VLOOKUP(AR143,$Q$129:$AB$133,3,0),"")</f>
        <v>ｕｎｉｏｎｓｃU12</v>
      </c>
      <c r="K143" s="446"/>
      <c r="L143" s="446"/>
      <c r="M143" s="446"/>
      <c r="N143" s="446"/>
      <c r="O143" s="446"/>
      <c r="P143" s="446"/>
      <c r="Q143" s="450" t="str">
        <f t="shared" ref="Q143:Q147" si="21">IF(OR(S143="",S144=""),"",S143+S144)</f>
        <v/>
      </c>
      <c r="R143" s="450"/>
      <c r="S143" s="220"/>
      <c r="T143" s="221" t="s">
        <v>30</v>
      </c>
      <c r="U143" s="220"/>
      <c r="V143" s="450" t="str">
        <f t="shared" ref="V143:V147" si="22">IF(OR(U143="",U144=""),"",U143+U144)</f>
        <v/>
      </c>
      <c r="W143" s="450"/>
      <c r="X143" s="447" t="str">
        <f t="shared" ref="X143" si="23">IFERROR(VLOOKUP(AS143,$C$129:$N$133,3,0),"")&amp;IFERROR(VLOOKUP(AS143,$Q$129:$AB$133,3,0),"")</f>
        <v>昭和・戸祭ＳＣ-S</v>
      </c>
      <c r="Y143" s="448"/>
      <c r="Z143" s="448"/>
      <c r="AA143" s="448"/>
      <c r="AB143" s="448"/>
      <c r="AC143" s="448"/>
      <c r="AD143" s="448"/>
      <c r="AE143" s="443"/>
      <c r="AF143" s="444"/>
      <c r="AG143" s="444"/>
      <c r="AH143" s="444"/>
      <c r="AI143" s="450" t="str">
        <f t="shared" ref="AI143" ca="1" si="24">DBCS(INDIRECT("U12対戦スケジュール!C"&amp;(ROW()-1)/2+31))</f>
        <v>１／６／６／１</v>
      </c>
      <c r="AJ143" s="444"/>
      <c r="AK143" s="444"/>
      <c r="AL143" s="444"/>
      <c r="AM143" s="444"/>
      <c r="AN143" s="444"/>
      <c r="AO143" s="444"/>
      <c r="AP143" s="444"/>
      <c r="AR143" s="56">
        <v>5</v>
      </c>
      <c r="AS143" s="56">
        <v>10</v>
      </c>
    </row>
    <row r="144" spans="2:45" ht="20.100000000000001" customHeight="1" x14ac:dyDescent="0.4">
      <c r="B144" s="472"/>
      <c r="C144" s="449"/>
      <c r="D144" s="449"/>
      <c r="E144" s="449"/>
      <c r="F144" s="444"/>
      <c r="G144" s="444"/>
      <c r="H144" s="444"/>
      <c r="I144" s="444"/>
      <c r="J144" s="446"/>
      <c r="K144" s="446"/>
      <c r="L144" s="446"/>
      <c r="M144" s="446"/>
      <c r="N144" s="446"/>
      <c r="O144" s="446"/>
      <c r="P144" s="446"/>
      <c r="Q144" s="450"/>
      <c r="R144" s="450"/>
      <c r="S144" s="220"/>
      <c r="T144" s="221" t="s">
        <v>30</v>
      </c>
      <c r="U144" s="220"/>
      <c r="V144" s="450"/>
      <c r="W144" s="450"/>
      <c r="X144" s="448"/>
      <c r="Y144" s="448"/>
      <c r="Z144" s="448"/>
      <c r="AA144" s="448"/>
      <c r="AB144" s="448"/>
      <c r="AC144" s="448"/>
      <c r="AD144" s="448"/>
      <c r="AE144" s="444"/>
      <c r="AF144" s="444"/>
      <c r="AG144" s="444"/>
      <c r="AH144" s="444"/>
      <c r="AI144" s="444"/>
      <c r="AJ144" s="444"/>
      <c r="AK144" s="444"/>
      <c r="AL144" s="444"/>
      <c r="AM144" s="444"/>
      <c r="AN144" s="444"/>
      <c r="AO144" s="444"/>
      <c r="AP144" s="444"/>
    </row>
    <row r="145" spans="1:45" ht="20.100000000000001" customHeight="1" x14ac:dyDescent="0.4">
      <c r="B145" s="473">
        <v>5</v>
      </c>
      <c r="C145" s="465">
        <v>0.4861111111111111</v>
      </c>
      <c r="D145" s="465"/>
      <c r="E145" s="465"/>
      <c r="F145" s="466"/>
      <c r="G145" s="464"/>
      <c r="H145" s="464"/>
      <c r="I145" s="464"/>
      <c r="J145" s="467" t="str">
        <f t="shared" ref="J145" si="25">IFERROR(VLOOKUP(AR145,$C$129:$N$133,3,0),"")&amp;IFERROR(VLOOKUP(AR145,$Q$129:$AB$133,3,0),"")</f>
        <v>岡西ＦＣ</v>
      </c>
      <c r="K145" s="468"/>
      <c r="L145" s="468"/>
      <c r="M145" s="468"/>
      <c r="N145" s="468"/>
      <c r="O145" s="468"/>
      <c r="P145" s="468"/>
      <c r="Q145" s="463" t="str">
        <f t="shared" si="21"/>
        <v/>
      </c>
      <c r="R145" s="463"/>
      <c r="S145" s="225"/>
      <c r="T145" s="226" t="s">
        <v>30</v>
      </c>
      <c r="U145" s="225"/>
      <c r="V145" s="463" t="str">
        <f t="shared" si="22"/>
        <v/>
      </c>
      <c r="W145" s="463"/>
      <c r="X145" s="469" t="str">
        <f t="shared" ref="X145" si="26">IFERROR(VLOOKUP(AS145,$C$129:$N$133,3,0),"")&amp;IFERROR(VLOOKUP(AS145,$Q$129:$AB$133,3,0),"")</f>
        <v>宝木キッカーズ</v>
      </c>
      <c r="Y145" s="470"/>
      <c r="Z145" s="470"/>
      <c r="AA145" s="470"/>
      <c r="AB145" s="470"/>
      <c r="AC145" s="470"/>
      <c r="AD145" s="470"/>
      <c r="AE145" s="466"/>
      <c r="AF145" s="464"/>
      <c r="AG145" s="464"/>
      <c r="AH145" s="464"/>
      <c r="AI145" s="463" t="str">
        <f t="shared" ref="AI145" ca="1" si="27">DBCS(INDIRECT("U12対戦スケジュール!C"&amp;(ROW()-1)/2+31))</f>
        <v>４／９／９／４</v>
      </c>
      <c r="AJ145" s="464"/>
      <c r="AK145" s="464"/>
      <c r="AL145" s="464"/>
      <c r="AM145" s="464"/>
      <c r="AN145" s="464"/>
      <c r="AO145" s="464"/>
      <c r="AP145" s="464"/>
      <c r="AR145" s="56">
        <v>1</v>
      </c>
      <c r="AS145" s="56">
        <v>6</v>
      </c>
    </row>
    <row r="146" spans="1:45" ht="20.100000000000001" customHeight="1" x14ac:dyDescent="0.4">
      <c r="B146" s="473"/>
      <c r="C146" s="465"/>
      <c r="D146" s="465"/>
      <c r="E146" s="465"/>
      <c r="F146" s="464"/>
      <c r="G146" s="464"/>
      <c r="H146" s="464"/>
      <c r="I146" s="464"/>
      <c r="J146" s="468"/>
      <c r="K146" s="468"/>
      <c r="L146" s="468"/>
      <c r="M146" s="468"/>
      <c r="N146" s="468"/>
      <c r="O146" s="468"/>
      <c r="P146" s="468"/>
      <c r="Q146" s="463"/>
      <c r="R146" s="463"/>
      <c r="S146" s="225"/>
      <c r="T146" s="226" t="s">
        <v>30</v>
      </c>
      <c r="U146" s="225"/>
      <c r="V146" s="463"/>
      <c r="W146" s="463"/>
      <c r="X146" s="470"/>
      <c r="Y146" s="470"/>
      <c r="Z146" s="470"/>
      <c r="AA146" s="470"/>
      <c r="AB146" s="470"/>
      <c r="AC146" s="470"/>
      <c r="AD146" s="470"/>
      <c r="AE146" s="464"/>
      <c r="AF146" s="464"/>
      <c r="AG146" s="464"/>
      <c r="AH146" s="464"/>
      <c r="AI146" s="464"/>
      <c r="AJ146" s="464"/>
      <c r="AK146" s="464"/>
      <c r="AL146" s="464"/>
      <c r="AM146" s="464"/>
      <c r="AN146" s="464"/>
      <c r="AO146" s="464"/>
      <c r="AP146" s="464"/>
    </row>
    <row r="147" spans="1:45" ht="20.100000000000001" hidden="1" customHeight="1" x14ac:dyDescent="0.4">
      <c r="B147" s="472">
        <v>6</v>
      </c>
      <c r="C147" s="449"/>
      <c r="D147" s="449"/>
      <c r="E147" s="449"/>
      <c r="F147" s="443"/>
      <c r="G147" s="444"/>
      <c r="H147" s="444"/>
      <c r="I147" s="444"/>
      <c r="J147" s="445"/>
      <c r="K147" s="446"/>
      <c r="L147" s="446"/>
      <c r="M147" s="446"/>
      <c r="N147" s="446"/>
      <c r="O147" s="446"/>
      <c r="P147" s="446"/>
      <c r="Q147" s="450" t="str">
        <f t="shared" si="21"/>
        <v/>
      </c>
      <c r="R147" s="450"/>
      <c r="S147" s="220"/>
      <c r="T147" s="221" t="s">
        <v>30</v>
      </c>
      <c r="U147" s="220"/>
      <c r="V147" s="450" t="str">
        <f t="shared" si="22"/>
        <v/>
      </c>
      <c r="W147" s="450"/>
      <c r="X147" s="447"/>
      <c r="Y147" s="448"/>
      <c r="Z147" s="448"/>
      <c r="AA147" s="448"/>
      <c r="AB147" s="448"/>
      <c r="AC147" s="448"/>
      <c r="AD147" s="448"/>
      <c r="AE147" s="443"/>
      <c r="AF147" s="444"/>
      <c r="AG147" s="444"/>
      <c r="AH147" s="444"/>
      <c r="AI147" s="450" t="str">
        <f t="shared" ref="AI147" ca="1" si="28">DBCS(INDIRECT("U12対戦スケジュール!C"&amp;(ROW()-1)/2+31))</f>
        <v/>
      </c>
      <c r="AJ147" s="444"/>
      <c r="AK147" s="444"/>
      <c r="AL147" s="444"/>
      <c r="AM147" s="444"/>
      <c r="AN147" s="444"/>
      <c r="AO147" s="444"/>
      <c r="AP147" s="444"/>
    </row>
    <row r="148" spans="1:45" ht="20.100000000000001" hidden="1" customHeight="1" x14ac:dyDescent="0.4">
      <c r="B148" s="472"/>
      <c r="C148" s="449"/>
      <c r="D148" s="449"/>
      <c r="E148" s="449"/>
      <c r="F148" s="444"/>
      <c r="G148" s="444"/>
      <c r="H148" s="444"/>
      <c r="I148" s="444"/>
      <c r="J148" s="446"/>
      <c r="K148" s="446"/>
      <c r="L148" s="446"/>
      <c r="M148" s="446"/>
      <c r="N148" s="446"/>
      <c r="O148" s="446"/>
      <c r="P148" s="446"/>
      <c r="Q148" s="450"/>
      <c r="R148" s="450"/>
      <c r="S148" s="220"/>
      <c r="T148" s="221" t="s">
        <v>30</v>
      </c>
      <c r="U148" s="220"/>
      <c r="V148" s="450"/>
      <c r="W148" s="450"/>
      <c r="X148" s="448"/>
      <c r="Y148" s="448"/>
      <c r="Z148" s="448"/>
      <c r="AA148" s="448"/>
      <c r="AB148" s="448"/>
      <c r="AC148" s="448"/>
      <c r="AD148" s="448"/>
      <c r="AE148" s="444"/>
      <c r="AF148" s="444"/>
      <c r="AG148" s="444"/>
      <c r="AH148" s="444"/>
      <c r="AI148" s="444"/>
      <c r="AJ148" s="444"/>
      <c r="AK148" s="444"/>
      <c r="AL148" s="444"/>
      <c r="AM148" s="444"/>
      <c r="AN148" s="444"/>
      <c r="AO148" s="444"/>
      <c r="AP148" s="444"/>
    </row>
    <row r="149" spans="1:45" ht="20.100000000000001" hidden="1" customHeight="1" x14ac:dyDescent="0.4">
      <c r="B149" s="472">
        <v>7</v>
      </c>
      <c r="C149" s="449"/>
      <c r="D149" s="449"/>
      <c r="E149" s="449"/>
      <c r="F149" s="443"/>
      <c r="G149" s="444"/>
      <c r="H149" s="444"/>
      <c r="I149" s="444"/>
      <c r="J149" s="445"/>
      <c r="K149" s="446"/>
      <c r="L149" s="446"/>
      <c r="M149" s="446"/>
      <c r="N149" s="446"/>
      <c r="O149" s="446"/>
      <c r="P149" s="446"/>
      <c r="Q149" s="450" t="str">
        <f>IF(OR(S149="",S150=""),"",S149+S150)</f>
        <v/>
      </c>
      <c r="R149" s="450"/>
      <c r="S149" s="220"/>
      <c r="T149" s="221" t="s">
        <v>30</v>
      </c>
      <c r="U149" s="220"/>
      <c r="V149" s="450" t="str">
        <f>IF(OR(U149="",U150=""),"",U149+U150)</f>
        <v/>
      </c>
      <c r="W149" s="450"/>
      <c r="X149" s="447"/>
      <c r="Y149" s="448"/>
      <c r="Z149" s="448"/>
      <c r="AA149" s="448"/>
      <c r="AB149" s="448"/>
      <c r="AC149" s="448"/>
      <c r="AD149" s="448"/>
      <c r="AE149" s="443"/>
      <c r="AF149" s="444"/>
      <c r="AG149" s="444"/>
      <c r="AH149" s="444"/>
      <c r="AI149" s="450" t="str">
        <f t="shared" ref="AI149" ca="1" si="29">DBCS(INDIRECT("U12対戦スケジュール!C"&amp;(ROW()-1)/2+31))</f>
        <v/>
      </c>
      <c r="AJ149" s="444"/>
      <c r="AK149" s="444"/>
      <c r="AL149" s="444"/>
      <c r="AM149" s="444"/>
      <c r="AN149" s="444"/>
      <c r="AO149" s="444"/>
      <c r="AP149" s="444"/>
    </row>
    <row r="150" spans="1:45" ht="20.100000000000001" hidden="1" customHeight="1" x14ac:dyDescent="0.4">
      <c r="B150" s="472"/>
      <c r="C150" s="449"/>
      <c r="D150" s="449"/>
      <c r="E150" s="449"/>
      <c r="F150" s="444"/>
      <c r="G150" s="444"/>
      <c r="H150" s="444"/>
      <c r="I150" s="444"/>
      <c r="J150" s="446"/>
      <c r="K150" s="446"/>
      <c r="L150" s="446"/>
      <c r="M150" s="446"/>
      <c r="N150" s="446"/>
      <c r="O150" s="446"/>
      <c r="P150" s="446"/>
      <c r="Q150" s="450"/>
      <c r="R150" s="450"/>
      <c r="S150" s="220"/>
      <c r="T150" s="221" t="s">
        <v>30</v>
      </c>
      <c r="U150" s="220"/>
      <c r="V150" s="450"/>
      <c r="W150" s="450"/>
      <c r="X150" s="448"/>
      <c r="Y150" s="448"/>
      <c r="Z150" s="448"/>
      <c r="AA150" s="448"/>
      <c r="AB150" s="448"/>
      <c r="AC150" s="448"/>
      <c r="AD150" s="448"/>
      <c r="AE150" s="444"/>
      <c r="AF150" s="444"/>
      <c r="AG150" s="444"/>
      <c r="AH150" s="444"/>
      <c r="AI150" s="444"/>
      <c r="AJ150" s="444"/>
      <c r="AK150" s="444"/>
      <c r="AL150" s="444"/>
      <c r="AM150" s="444"/>
      <c r="AN150" s="444"/>
      <c r="AO150" s="444"/>
      <c r="AP150" s="444"/>
    </row>
    <row r="151" spans="1:45" s="55" customFormat="1" ht="15.75" customHeight="1" x14ac:dyDescent="0.4">
      <c r="A151" s="58"/>
      <c r="B151" s="59"/>
      <c r="C151" s="60"/>
      <c r="D151" s="60"/>
      <c r="E151" s="60"/>
      <c r="F151" s="59"/>
      <c r="G151" s="59"/>
      <c r="H151" s="59"/>
      <c r="I151" s="59"/>
      <c r="J151" s="59"/>
      <c r="K151" s="61"/>
      <c r="L151" s="61"/>
      <c r="M151" s="62"/>
      <c r="N151" s="63"/>
      <c r="O151" s="62"/>
      <c r="P151" s="61"/>
      <c r="Q151" s="61"/>
      <c r="R151" s="59"/>
      <c r="S151" s="59"/>
      <c r="T151" s="59"/>
      <c r="U151" s="59"/>
      <c r="V151" s="59"/>
      <c r="W151" s="66"/>
      <c r="X151" s="66"/>
      <c r="Y151" s="66"/>
      <c r="Z151" s="66"/>
      <c r="AA151" s="66"/>
      <c r="AB151" s="66"/>
      <c r="AC151" s="58"/>
    </row>
    <row r="152" spans="1:45" ht="20.25" customHeight="1" x14ac:dyDescent="0.4">
      <c r="D152" s="477" t="s">
        <v>31</v>
      </c>
      <c r="E152" s="477"/>
      <c r="F152" s="477"/>
      <c r="G152" s="477"/>
      <c r="H152" s="477"/>
      <c r="I152" s="477"/>
      <c r="J152" s="477" t="s">
        <v>27</v>
      </c>
      <c r="K152" s="477"/>
      <c r="L152" s="477"/>
      <c r="M152" s="477"/>
      <c r="N152" s="477"/>
      <c r="O152" s="477"/>
      <c r="P152" s="477"/>
      <c r="Q152" s="477"/>
      <c r="R152" s="478" t="s">
        <v>32</v>
      </c>
      <c r="S152" s="478"/>
      <c r="T152" s="478"/>
      <c r="U152" s="478"/>
      <c r="V152" s="478"/>
      <c r="W152" s="478"/>
      <c r="X152" s="478"/>
      <c r="Y152" s="478"/>
      <c r="Z152" s="478"/>
      <c r="AA152" s="479" t="s">
        <v>33</v>
      </c>
      <c r="AB152" s="479"/>
      <c r="AC152" s="479"/>
      <c r="AD152" s="479" t="s">
        <v>34</v>
      </c>
      <c r="AE152" s="479"/>
      <c r="AF152" s="479"/>
      <c r="AG152" s="479"/>
      <c r="AH152" s="479"/>
      <c r="AI152" s="479"/>
      <c r="AJ152" s="479"/>
      <c r="AK152" s="479"/>
      <c r="AL152" s="479"/>
      <c r="AM152" s="479"/>
    </row>
    <row r="153" spans="1:45" ht="30" customHeight="1" x14ac:dyDescent="0.4">
      <c r="D153" s="477" t="s">
        <v>35</v>
      </c>
      <c r="E153" s="477"/>
      <c r="F153" s="477"/>
      <c r="G153" s="477"/>
      <c r="H153" s="477"/>
      <c r="I153" s="477"/>
      <c r="J153" s="477"/>
      <c r="K153" s="477"/>
      <c r="L153" s="477"/>
      <c r="M153" s="477"/>
      <c r="N153" s="477"/>
      <c r="O153" s="477"/>
      <c r="P153" s="477"/>
      <c r="Q153" s="477"/>
      <c r="R153" s="478"/>
      <c r="S153" s="478"/>
      <c r="T153" s="478"/>
      <c r="U153" s="478"/>
      <c r="V153" s="478"/>
      <c r="W153" s="478"/>
      <c r="X153" s="478"/>
      <c r="Y153" s="478"/>
      <c r="Z153" s="478"/>
      <c r="AA153" s="481"/>
      <c r="AB153" s="481"/>
      <c r="AC153" s="481"/>
      <c r="AD153" s="480"/>
      <c r="AE153" s="480"/>
      <c r="AF153" s="480"/>
      <c r="AG153" s="480"/>
      <c r="AH153" s="480"/>
      <c r="AI153" s="480"/>
      <c r="AJ153" s="480"/>
      <c r="AK153" s="480"/>
      <c r="AL153" s="480"/>
      <c r="AM153" s="480"/>
    </row>
    <row r="154" spans="1:45" ht="30" customHeight="1" x14ac:dyDescent="0.4">
      <c r="D154" s="477" t="s">
        <v>35</v>
      </c>
      <c r="E154" s="477"/>
      <c r="F154" s="477"/>
      <c r="G154" s="477"/>
      <c r="H154" s="477"/>
      <c r="I154" s="477"/>
      <c r="J154" s="477"/>
      <c r="K154" s="477"/>
      <c r="L154" s="477"/>
      <c r="M154" s="477"/>
      <c r="N154" s="477"/>
      <c r="O154" s="477"/>
      <c r="P154" s="477"/>
      <c r="Q154" s="477"/>
      <c r="R154" s="478"/>
      <c r="S154" s="478"/>
      <c r="T154" s="478"/>
      <c r="U154" s="478"/>
      <c r="V154" s="478"/>
      <c r="W154" s="478"/>
      <c r="X154" s="478"/>
      <c r="Y154" s="478"/>
      <c r="Z154" s="478"/>
      <c r="AA154" s="479"/>
      <c r="AB154" s="479"/>
      <c r="AC154" s="479"/>
      <c r="AD154" s="480"/>
      <c r="AE154" s="480"/>
      <c r="AF154" s="480"/>
      <c r="AG154" s="480"/>
      <c r="AH154" s="480"/>
      <c r="AI154" s="480"/>
      <c r="AJ154" s="480"/>
      <c r="AK154" s="480"/>
      <c r="AL154" s="480"/>
      <c r="AM154" s="480"/>
    </row>
    <row r="155" spans="1:45" ht="30" customHeight="1" x14ac:dyDescent="0.4">
      <c r="D155" s="477" t="s">
        <v>35</v>
      </c>
      <c r="E155" s="477"/>
      <c r="F155" s="477"/>
      <c r="G155" s="477"/>
      <c r="H155" s="477"/>
      <c r="I155" s="477"/>
      <c r="J155" s="477"/>
      <c r="K155" s="477"/>
      <c r="L155" s="477"/>
      <c r="M155" s="477"/>
      <c r="N155" s="477"/>
      <c r="O155" s="477"/>
      <c r="P155" s="477"/>
      <c r="Q155" s="477"/>
      <c r="R155" s="478"/>
      <c r="S155" s="478"/>
      <c r="T155" s="478"/>
      <c r="U155" s="478"/>
      <c r="V155" s="478"/>
      <c r="W155" s="478"/>
      <c r="X155" s="478"/>
      <c r="Y155" s="478"/>
      <c r="Z155" s="478"/>
      <c r="AA155" s="479"/>
      <c r="AB155" s="479"/>
      <c r="AC155" s="479"/>
      <c r="AD155" s="480"/>
      <c r="AE155" s="480"/>
      <c r="AF155" s="480"/>
      <c r="AG155" s="480"/>
      <c r="AH155" s="480"/>
      <c r="AI155" s="480"/>
      <c r="AJ155" s="480"/>
      <c r="AK155" s="480"/>
      <c r="AL155" s="480"/>
      <c r="AM155" s="480"/>
    </row>
  </sheetData>
  <mergeCells count="640">
    <mergeCell ref="C3:F3"/>
    <mergeCell ref="G3:O3"/>
    <mergeCell ref="P3:S3"/>
    <mergeCell ref="T3:AB3"/>
    <mergeCell ref="AC3:AF3"/>
    <mergeCell ref="AG3:AL3"/>
    <mergeCell ref="AM3:AO3"/>
    <mergeCell ref="C5:D5"/>
    <mergeCell ref="E5:N5"/>
    <mergeCell ref="Q5:R5"/>
    <mergeCell ref="S5:AB5"/>
    <mergeCell ref="AE5:AF5"/>
    <mergeCell ref="AG5:AP5"/>
    <mergeCell ref="C6:D6"/>
    <mergeCell ref="E6:N6"/>
    <mergeCell ref="Q6:R6"/>
    <mergeCell ref="S6:AB6"/>
    <mergeCell ref="AE6:AF6"/>
    <mergeCell ref="AG6:AP6"/>
    <mergeCell ref="C7:D7"/>
    <mergeCell ref="E7:N7"/>
    <mergeCell ref="Q7:R7"/>
    <mergeCell ref="S7:AB7"/>
    <mergeCell ref="AE7:AF7"/>
    <mergeCell ref="AG7:AP7"/>
    <mergeCell ref="C8:D8"/>
    <mergeCell ref="E8:N8"/>
    <mergeCell ref="Q8:R8"/>
    <mergeCell ref="S8:AB8"/>
    <mergeCell ref="AE8:AF8"/>
    <mergeCell ref="AG8:AP8"/>
    <mergeCell ref="C9:D9"/>
    <mergeCell ref="E9:N9"/>
    <mergeCell ref="Q9:R9"/>
    <mergeCell ref="S9:AB9"/>
    <mergeCell ref="AE9:AF9"/>
    <mergeCell ref="AG9:AP9"/>
    <mergeCell ref="C12:E12"/>
    <mergeCell ref="F12:I12"/>
    <mergeCell ref="J12:P12"/>
    <mergeCell ref="Q12:W12"/>
    <mergeCell ref="X12:AD12"/>
    <mergeCell ref="AE12:AH12"/>
    <mergeCell ref="AI12:AP12"/>
    <mergeCell ref="D28:I28"/>
    <mergeCell ref="J28:Q28"/>
    <mergeCell ref="R28:Z28"/>
    <mergeCell ref="AA28:AC28"/>
    <mergeCell ref="AD28:AM28"/>
    <mergeCell ref="AE25:AH26"/>
    <mergeCell ref="C13:E14"/>
    <mergeCell ref="F13:I14"/>
    <mergeCell ref="J13:P14"/>
    <mergeCell ref="X13:AD14"/>
    <mergeCell ref="Q13:R14"/>
    <mergeCell ref="V13:W14"/>
    <mergeCell ref="V15:W16"/>
    <mergeCell ref="AE15:AH16"/>
    <mergeCell ref="F15:I16"/>
    <mergeCell ref="Q17:R18"/>
    <mergeCell ref="F17:I18"/>
    <mergeCell ref="D29:I29"/>
    <mergeCell ref="J29:Q29"/>
    <mergeCell ref="R29:Z29"/>
    <mergeCell ref="AA29:AC29"/>
    <mergeCell ref="AD29:AM29"/>
    <mergeCell ref="D30:I30"/>
    <mergeCell ref="J30:Q30"/>
    <mergeCell ref="R30:Z30"/>
    <mergeCell ref="AA30:AC30"/>
    <mergeCell ref="AD30:AM30"/>
    <mergeCell ref="D31:I31"/>
    <mergeCell ref="J31:Q31"/>
    <mergeCell ref="R31:Z31"/>
    <mergeCell ref="AA31:AC31"/>
    <mergeCell ref="AD31:AM31"/>
    <mergeCell ref="C34:F34"/>
    <mergeCell ref="G34:O34"/>
    <mergeCell ref="P34:S34"/>
    <mergeCell ref="T34:AB34"/>
    <mergeCell ref="AC34:AF34"/>
    <mergeCell ref="AG34:AL34"/>
    <mergeCell ref="AM34:AO34"/>
    <mergeCell ref="C36:D36"/>
    <mergeCell ref="E36:N36"/>
    <mergeCell ref="Q36:R36"/>
    <mergeCell ref="S36:AB36"/>
    <mergeCell ref="AE36:AF36"/>
    <mergeCell ref="AG36:AP36"/>
    <mergeCell ref="C37:D37"/>
    <mergeCell ref="E37:N37"/>
    <mergeCell ref="Q37:R37"/>
    <mergeCell ref="S37:AB37"/>
    <mergeCell ref="AE37:AF37"/>
    <mergeCell ref="AG37:AP37"/>
    <mergeCell ref="C38:D38"/>
    <mergeCell ref="E38:N38"/>
    <mergeCell ref="Q38:R38"/>
    <mergeCell ref="S38:AB38"/>
    <mergeCell ref="AE38:AF38"/>
    <mergeCell ref="AG38:AP38"/>
    <mergeCell ref="C39:D39"/>
    <mergeCell ref="E39:N39"/>
    <mergeCell ref="Q39:R39"/>
    <mergeCell ref="S39:AB39"/>
    <mergeCell ref="AE39:AF39"/>
    <mergeCell ref="AG39:AP39"/>
    <mergeCell ref="C43:E43"/>
    <mergeCell ref="F43:I43"/>
    <mergeCell ref="J43:P43"/>
    <mergeCell ref="Q43:W43"/>
    <mergeCell ref="X43:AD43"/>
    <mergeCell ref="AE43:AH43"/>
    <mergeCell ref="AI43:AP43"/>
    <mergeCell ref="D59:I59"/>
    <mergeCell ref="J59:Q59"/>
    <mergeCell ref="R59:Z59"/>
    <mergeCell ref="AA59:AC59"/>
    <mergeCell ref="AD59:AM59"/>
    <mergeCell ref="Q44:R45"/>
    <mergeCell ref="V44:W45"/>
    <mergeCell ref="AE46:AH47"/>
    <mergeCell ref="AE48:AH49"/>
    <mergeCell ref="V56:W57"/>
    <mergeCell ref="AI56:AP57"/>
    <mergeCell ref="C48:E49"/>
    <mergeCell ref="F48:I49"/>
    <mergeCell ref="J48:P49"/>
    <mergeCell ref="X48:AD49"/>
    <mergeCell ref="C46:E47"/>
    <mergeCell ref="C50:E51"/>
    <mergeCell ref="D60:I60"/>
    <mergeCell ref="J60:Q60"/>
    <mergeCell ref="R60:Z60"/>
    <mergeCell ref="AA60:AC60"/>
    <mergeCell ref="AD60:AM60"/>
    <mergeCell ref="D61:I61"/>
    <mergeCell ref="J61:Q61"/>
    <mergeCell ref="R61:Z61"/>
    <mergeCell ref="AA61:AC61"/>
    <mergeCell ref="AD61:AM61"/>
    <mergeCell ref="D62:I62"/>
    <mergeCell ref="J62:Q62"/>
    <mergeCell ref="R62:Z62"/>
    <mergeCell ref="AA62:AC62"/>
    <mergeCell ref="AD62:AM62"/>
    <mergeCell ref="C65:F65"/>
    <mergeCell ref="G65:O65"/>
    <mergeCell ref="P65:S65"/>
    <mergeCell ref="T65:AB65"/>
    <mergeCell ref="AC65:AF65"/>
    <mergeCell ref="AG65:AL65"/>
    <mergeCell ref="AM65:AO65"/>
    <mergeCell ref="C67:D67"/>
    <mergeCell ref="E67:N67"/>
    <mergeCell ref="Q67:R67"/>
    <mergeCell ref="S67:AB67"/>
    <mergeCell ref="AE67:AF67"/>
    <mergeCell ref="AG67:AP67"/>
    <mergeCell ref="C68:D68"/>
    <mergeCell ref="E68:N68"/>
    <mergeCell ref="Q68:R68"/>
    <mergeCell ref="S68:AB68"/>
    <mergeCell ref="AE68:AF68"/>
    <mergeCell ref="AG68:AP68"/>
    <mergeCell ref="C69:D69"/>
    <mergeCell ref="E69:N69"/>
    <mergeCell ref="Q69:R69"/>
    <mergeCell ref="S69:AB69"/>
    <mergeCell ref="AE69:AF69"/>
    <mergeCell ref="AG69:AP69"/>
    <mergeCell ref="C70:D70"/>
    <mergeCell ref="E70:N70"/>
    <mergeCell ref="Q70:R70"/>
    <mergeCell ref="S70:AB70"/>
    <mergeCell ref="AE70:AF70"/>
    <mergeCell ref="AG70:AP70"/>
    <mergeCell ref="C71:D71"/>
    <mergeCell ref="E71:N71"/>
    <mergeCell ref="Q71:R71"/>
    <mergeCell ref="S71:AB71"/>
    <mergeCell ref="AE71:AF71"/>
    <mergeCell ref="AG71:AP71"/>
    <mergeCell ref="C74:E74"/>
    <mergeCell ref="F74:I74"/>
    <mergeCell ref="J74:P74"/>
    <mergeCell ref="Q74:W74"/>
    <mergeCell ref="X74:AD74"/>
    <mergeCell ref="AE74:AH74"/>
    <mergeCell ref="AI74:AP74"/>
    <mergeCell ref="D90:I90"/>
    <mergeCell ref="J90:Q90"/>
    <mergeCell ref="R90:Z90"/>
    <mergeCell ref="AA90:AC90"/>
    <mergeCell ref="AD90:AM90"/>
    <mergeCell ref="AI75:AP76"/>
    <mergeCell ref="V79:W80"/>
    <mergeCell ref="D91:I91"/>
    <mergeCell ref="J91:Q91"/>
    <mergeCell ref="R91:Z91"/>
    <mergeCell ref="AA91:AC91"/>
    <mergeCell ref="AD91:AM91"/>
    <mergeCell ref="AI79:AP80"/>
    <mergeCell ref="AE81:AH82"/>
    <mergeCell ref="Q79:R80"/>
    <mergeCell ref="J79:P80"/>
    <mergeCell ref="X79:AD80"/>
    <mergeCell ref="F79:I80"/>
    <mergeCell ref="C81:E82"/>
    <mergeCell ref="F77:I78"/>
    <mergeCell ref="F75:I76"/>
    <mergeCell ref="J75:P76"/>
    <mergeCell ref="X75:AD76"/>
    <mergeCell ref="Q75:R76"/>
    <mergeCell ref="D92:I92"/>
    <mergeCell ref="J92:Q92"/>
    <mergeCell ref="R92:Z92"/>
    <mergeCell ref="AA92:AC92"/>
    <mergeCell ref="AD92:AM92"/>
    <mergeCell ref="D93:I93"/>
    <mergeCell ref="J93:Q93"/>
    <mergeCell ref="R93:Z93"/>
    <mergeCell ref="AA93:AC93"/>
    <mergeCell ref="AD93:AM93"/>
    <mergeCell ref="C96:F96"/>
    <mergeCell ref="G96:O96"/>
    <mergeCell ref="P96:S96"/>
    <mergeCell ref="T96:AB96"/>
    <mergeCell ref="AC96:AF96"/>
    <mergeCell ref="AG96:AL96"/>
    <mergeCell ref="AM96:AO96"/>
    <mergeCell ref="C98:D98"/>
    <mergeCell ref="E98:N98"/>
    <mergeCell ref="Q98:R98"/>
    <mergeCell ref="S98:AB98"/>
    <mergeCell ref="AE98:AF98"/>
    <mergeCell ref="AG98:AP98"/>
    <mergeCell ref="E99:N99"/>
    <mergeCell ref="Q99:R99"/>
    <mergeCell ref="S99:AB99"/>
    <mergeCell ref="AE99:AF99"/>
    <mergeCell ref="AG99:AP99"/>
    <mergeCell ref="C100:D100"/>
    <mergeCell ref="E100:N100"/>
    <mergeCell ref="Q100:R100"/>
    <mergeCell ref="S100:AB100"/>
    <mergeCell ref="AE100:AF100"/>
    <mergeCell ref="AG100:AP100"/>
    <mergeCell ref="D121:I121"/>
    <mergeCell ref="J121:Q121"/>
    <mergeCell ref="R121:Z121"/>
    <mergeCell ref="AA121:AC121"/>
    <mergeCell ref="AD121:AM121"/>
    <mergeCell ref="Q114:R115"/>
    <mergeCell ref="AI108:AP109"/>
    <mergeCell ref="AE106:AH107"/>
    <mergeCell ref="AI106:AP107"/>
    <mergeCell ref="F110:I111"/>
    <mergeCell ref="J110:P111"/>
    <mergeCell ref="X110:AD111"/>
    <mergeCell ref="AE110:AH111"/>
    <mergeCell ref="AE108:AH109"/>
    <mergeCell ref="Q112:R113"/>
    <mergeCell ref="J112:P113"/>
    <mergeCell ref="X112:AD113"/>
    <mergeCell ref="D122:I122"/>
    <mergeCell ref="J122:Q122"/>
    <mergeCell ref="R122:Z122"/>
    <mergeCell ref="AA122:AC122"/>
    <mergeCell ref="AD122:AM122"/>
    <mergeCell ref="D123:I123"/>
    <mergeCell ref="J123:Q123"/>
    <mergeCell ref="R123:Z123"/>
    <mergeCell ref="AA123:AC123"/>
    <mergeCell ref="AD123:AM123"/>
    <mergeCell ref="D124:I124"/>
    <mergeCell ref="J124:Q124"/>
    <mergeCell ref="R124:Z124"/>
    <mergeCell ref="AA124:AC124"/>
    <mergeCell ref="AD124:AM124"/>
    <mergeCell ref="P127:S127"/>
    <mergeCell ref="T127:AB127"/>
    <mergeCell ref="AC127:AF127"/>
    <mergeCell ref="AG127:AL127"/>
    <mergeCell ref="AM127:AO127"/>
    <mergeCell ref="C129:D129"/>
    <mergeCell ref="E129:N129"/>
    <mergeCell ref="Q129:R129"/>
    <mergeCell ref="S129:AB129"/>
    <mergeCell ref="AE129:AF129"/>
    <mergeCell ref="AG129:AP129"/>
    <mergeCell ref="C130:D130"/>
    <mergeCell ref="E130:N130"/>
    <mergeCell ref="Q130:R130"/>
    <mergeCell ref="S130:AB130"/>
    <mergeCell ref="AE130:AF130"/>
    <mergeCell ref="AG130:AP130"/>
    <mergeCell ref="V141:W142"/>
    <mergeCell ref="J141:P142"/>
    <mergeCell ref="X141:AD142"/>
    <mergeCell ref="AE141:AH142"/>
    <mergeCell ref="Q141:R142"/>
    <mergeCell ref="AI143:AP144"/>
    <mergeCell ref="AI141:AP142"/>
    <mergeCell ref="C131:D131"/>
    <mergeCell ref="E131:N131"/>
    <mergeCell ref="Q131:R131"/>
    <mergeCell ref="S131:AB131"/>
    <mergeCell ref="AE131:AF131"/>
    <mergeCell ref="AG131:AP131"/>
    <mergeCell ref="C132:D132"/>
    <mergeCell ref="E132:N132"/>
    <mergeCell ref="Q132:R132"/>
    <mergeCell ref="S132:AB132"/>
    <mergeCell ref="AE132:AF132"/>
    <mergeCell ref="AG132:AP132"/>
    <mergeCell ref="C133:D133"/>
    <mergeCell ref="E133:N133"/>
    <mergeCell ref="Q133:R133"/>
    <mergeCell ref="S133:AB133"/>
    <mergeCell ref="AE133:AF133"/>
    <mergeCell ref="AG133:AP133"/>
    <mergeCell ref="C141:E142"/>
    <mergeCell ref="F141:I142"/>
    <mergeCell ref="D152:I152"/>
    <mergeCell ref="J152:Q152"/>
    <mergeCell ref="R152:Z152"/>
    <mergeCell ref="AA152:AC152"/>
    <mergeCell ref="AD152:AM152"/>
    <mergeCell ref="D153:I153"/>
    <mergeCell ref="J153:Q153"/>
    <mergeCell ref="R153:Z153"/>
    <mergeCell ref="AA153:AC153"/>
    <mergeCell ref="AD153:AM153"/>
    <mergeCell ref="Q149:R150"/>
    <mergeCell ref="V149:W150"/>
    <mergeCell ref="J149:P150"/>
    <mergeCell ref="X149:AD150"/>
    <mergeCell ref="AE149:AH150"/>
    <mergeCell ref="AI149:AP150"/>
    <mergeCell ref="C149:E150"/>
    <mergeCell ref="F149:I150"/>
    <mergeCell ref="J143:P144"/>
    <mergeCell ref="X143:AD144"/>
    <mergeCell ref="AE143:AH144"/>
    <mergeCell ref="D154:I154"/>
    <mergeCell ref="J154:Q154"/>
    <mergeCell ref="R154:Z154"/>
    <mergeCell ref="AA154:AC154"/>
    <mergeCell ref="AD154:AM154"/>
    <mergeCell ref="D155:I155"/>
    <mergeCell ref="J155:Q155"/>
    <mergeCell ref="R155:Z155"/>
    <mergeCell ref="AA155:AC155"/>
    <mergeCell ref="AD155:AM155"/>
    <mergeCell ref="B13:B14"/>
    <mergeCell ref="B15:B16"/>
    <mergeCell ref="B17:B18"/>
    <mergeCell ref="B19:B20"/>
    <mergeCell ref="B21:B22"/>
    <mergeCell ref="B23:B24"/>
    <mergeCell ref="B25:B26"/>
    <mergeCell ref="B44:B45"/>
    <mergeCell ref="B46:B47"/>
    <mergeCell ref="A32:AQ33"/>
    <mergeCell ref="AI25:AP26"/>
    <mergeCell ref="C40:D40"/>
    <mergeCell ref="E40:N40"/>
    <mergeCell ref="Q40:R40"/>
    <mergeCell ref="S40:AB40"/>
    <mergeCell ref="AE40:AF40"/>
    <mergeCell ref="F46:I47"/>
    <mergeCell ref="AE44:AH45"/>
    <mergeCell ref="J46:P47"/>
    <mergeCell ref="X46:AD47"/>
    <mergeCell ref="Q46:R47"/>
    <mergeCell ref="V46:W47"/>
    <mergeCell ref="J44:P45"/>
    <mergeCell ref="X44:AD45"/>
    <mergeCell ref="B48:B49"/>
    <mergeCell ref="B50:B51"/>
    <mergeCell ref="B52:B53"/>
    <mergeCell ref="B54:B55"/>
    <mergeCell ref="B56:B57"/>
    <mergeCell ref="B75:B76"/>
    <mergeCell ref="B77:B78"/>
    <mergeCell ref="B79:B80"/>
    <mergeCell ref="B81:B82"/>
    <mergeCell ref="B83:B84"/>
    <mergeCell ref="B85:B86"/>
    <mergeCell ref="B87:B88"/>
    <mergeCell ref="B106:B107"/>
    <mergeCell ref="C106:E107"/>
    <mergeCell ref="B108:B109"/>
    <mergeCell ref="B110:B111"/>
    <mergeCell ref="B112:B113"/>
    <mergeCell ref="B114:B115"/>
    <mergeCell ref="A94:AQ95"/>
    <mergeCell ref="C110:E111"/>
    <mergeCell ref="AI110:AP111"/>
    <mergeCell ref="C105:E105"/>
    <mergeCell ref="F105:I105"/>
    <mergeCell ref="J105:P105"/>
    <mergeCell ref="Q105:W105"/>
    <mergeCell ref="X105:AD105"/>
    <mergeCell ref="AE105:AH105"/>
    <mergeCell ref="AI105:AP105"/>
    <mergeCell ref="C101:D101"/>
    <mergeCell ref="E101:N101"/>
    <mergeCell ref="Q101:R101"/>
    <mergeCell ref="S101:AB101"/>
    <mergeCell ref="AE101:AF101"/>
    <mergeCell ref="B116:B117"/>
    <mergeCell ref="B118:B119"/>
    <mergeCell ref="B137:B138"/>
    <mergeCell ref="B139:B140"/>
    <mergeCell ref="B141:B142"/>
    <mergeCell ref="B143:B144"/>
    <mergeCell ref="B145:B146"/>
    <mergeCell ref="B147:B148"/>
    <mergeCell ref="B149:B150"/>
    <mergeCell ref="AI147:AP148"/>
    <mergeCell ref="AI145:AP146"/>
    <mergeCell ref="C143:E144"/>
    <mergeCell ref="F143:I144"/>
    <mergeCell ref="Q143:R144"/>
    <mergeCell ref="C145:E146"/>
    <mergeCell ref="F145:I146"/>
    <mergeCell ref="V147:W148"/>
    <mergeCell ref="J147:P148"/>
    <mergeCell ref="X147:AD148"/>
    <mergeCell ref="AE147:AH148"/>
    <mergeCell ref="C147:E148"/>
    <mergeCell ref="F147:I148"/>
    <mergeCell ref="Q147:R148"/>
    <mergeCell ref="J145:P146"/>
    <mergeCell ref="X145:AD146"/>
    <mergeCell ref="Q145:R146"/>
    <mergeCell ref="V145:W146"/>
    <mergeCell ref="AE145:AH146"/>
    <mergeCell ref="V143:W144"/>
    <mergeCell ref="C136:E136"/>
    <mergeCell ref="F136:I136"/>
    <mergeCell ref="J136:P136"/>
    <mergeCell ref="A125:AQ126"/>
    <mergeCell ref="C118:E119"/>
    <mergeCell ref="F118:I119"/>
    <mergeCell ref="AI118:AP119"/>
    <mergeCell ref="AI139:AP140"/>
    <mergeCell ref="AI137:AP138"/>
    <mergeCell ref="Q137:R138"/>
    <mergeCell ref="V137:W138"/>
    <mergeCell ref="J137:P138"/>
    <mergeCell ref="X137:AD138"/>
    <mergeCell ref="V139:W140"/>
    <mergeCell ref="J139:P140"/>
    <mergeCell ref="X139:AD140"/>
    <mergeCell ref="AE139:AH140"/>
    <mergeCell ref="C137:E138"/>
    <mergeCell ref="F137:I138"/>
    <mergeCell ref="C139:E140"/>
    <mergeCell ref="F139:I140"/>
    <mergeCell ref="Q139:R140"/>
    <mergeCell ref="AE137:AH138"/>
    <mergeCell ref="AE118:AH119"/>
    <mergeCell ref="Q136:W136"/>
    <mergeCell ref="X136:AD136"/>
    <mergeCell ref="AE136:AH136"/>
    <mergeCell ref="AI136:AP136"/>
    <mergeCell ref="C127:F127"/>
    <mergeCell ref="G127:O127"/>
    <mergeCell ref="C108:E109"/>
    <mergeCell ref="AI44:AP45"/>
    <mergeCell ref="AI87:AP88"/>
    <mergeCell ref="Q118:R119"/>
    <mergeCell ref="V118:W119"/>
    <mergeCell ref="J118:P119"/>
    <mergeCell ref="X118:AD119"/>
    <mergeCell ref="V50:W51"/>
    <mergeCell ref="Q50:R51"/>
    <mergeCell ref="Q52:R53"/>
    <mergeCell ref="AI46:AP47"/>
    <mergeCell ref="AI48:AP49"/>
    <mergeCell ref="Q48:R49"/>
    <mergeCell ref="V48:W49"/>
    <mergeCell ref="AE50:AH51"/>
    <mergeCell ref="C44:E45"/>
    <mergeCell ref="F44:I45"/>
    <mergeCell ref="AI54:AP55"/>
    <mergeCell ref="AG40:AP40"/>
    <mergeCell ref="AI13:AP14"/>
    <mergeCell ref="AI15:AP16"/>
    <mergeCell ref="AI17:AP18"/>
    <mergeCell ref="AI19:AP20"/>
    <mergeCell ref="AI21:AP22"/>
    <mergeCell ref="AI23:AP24"/>
    <mergeCell ref="AE13:AH14"/>
    <mergeCell ref="A1:AQ2"/>
    <mergeCell ref="Q15:R16"/>
    <mergeCell ref="C17:E18"/>
    <mergeCell ref="C23:E24"/>
    <mergeCell ref="F23:I24"/>
    <mergeCell ref="Q23:R24"/>
    <mergeCell ref="V23:W24"/>
    <mergeCell ref="AE23:AH24"/>
    <mergeCell ref="J15:P16"/>
    <mergeCell ref="X15:AD16"/>
    <mergeCell ref="AE21:AH22"/>
    <mergeCell ref="C21:E22"/>
    <mergeCell ref="V19:W20"/>
    <mergeCell ref="C15:E16"/>
    <mergeCell ref="AE19:AH20"/>
    <mergeCell ref="Q19:R20"/>
    <mergeCell ref="J17:P18"/>
    <mergeCell ref="X17:AD18"/>
    <mergeCell ref="V17:W18"/>
    <mergeCell ref="AE17:AH18"/>
    <mergeCell ref="C25:E26"/>
    <mergeCell ref="F25:I26"/>
    <mergeCell ref="J25:P26"/>
    <mergeCell ref="X25:AD26"/>
    <mergeCell ref="Q25:R26"/>
    <mergeCell ref="V25:W26"/>
    <mergeCell ref="F21:I22"/>
    <mergeCell ref="J21:P22"/>
    <mergeCell ref="X21:AD22"/>
    <mergeCell ref="J23:P24"/>
    <mergeCell ref="X23:AD24"/>
    <mergeCell ref="Q21:R22"/>
    <mergeCell ref="V21:W22"/>
    <mergeCell ref="C19:E20"/>
    <mergeCell ref="F19:I20"/>
    <mergeCell ref="J19:P20"/>
    <mergeCell ref="X19:AD20"/>
    <mergeCell ref="F50:I51"/>
    <mergeCell ref="V52:W53"/>
    <mergeCell ref="J52:P53"/>
    <mergeCell ref="X52:AD53"/>
    <mergeCell ref="AE52:AH53"/>
    <mergeCell ref="AE54:AH55"/>
    <mergeCell ref="C52:E53"/>
    <mergeCell ref="F52:I53"/>
    <mergeCell ref="J50:P51"/>
    <mergeCell ref="X50:AD51"/>
    <mergeCell ref="AI52:AP53"/>
    <mergeCell ref="AI50:AP51"/>
    <mergeCell ref="AI77:AP78"/>
    <mergeCell ref="J77:P78"/>
    <mergeCell ref="X77:AD78"/>
    <mergeCell ref="AE77:AH78"/>
    <mergeCell ref="J81:P82"/>
    <mergeCell ref="X81:AD82"/>
    <mergeCell ref="A63:AQ64"/>
    <mergeCell ref="C56:E57"/>
    <mergeCell ref="F56:I57"/>
    <mergeCell ref="V54:W55"/>
    <mergeCell ref="Q54:R55"/>
    <mergeCell ref="Q56:R57"/>
    <mergeCell ref="C54:E55"/>
    <mergeCell ref="F54:I55"/>
    <mergeCell ref="J54:P55"/>
    <mergeCell ref="X54:AD55"/>
    <mergeCell ref="J56:P57"/>
    <mergeCell ref="X56:AD57"/>
    <mergeCell ref="AE56:AH57"/>
    <mergeCell ref="C77:E78"/>
    <mergeCell ref="V77:W78"/>
    <mergeCell ref="F81:I82"/>
    <mergeCell ref="V75:W76"/>
    <mergeCell ref="AE75:AH76"/>
    <mergeCell ref="C75:E76"/>
    <mergeCell ref="V83:W84"/>
    <mergeCell ref="AE83:AH84"/>
    <mergeCell ref="AI83:AP84"/>
    <mergeCell ref="J85:P86"/>
    <mergeCell ref="X85:AD86"/>
    <mergeCell ref="AE85:AH86"/>
    <mergeCell ref="AI81:AP82"/>
    <mergeCell ref="C79:E80"/>
    <mergeCell ref="AE79:AH80"/>
    <mergeCell ref="Q77:R78"/>
    <mergeCell ref="C85:E86"/>
    <mergeCell ref="F85:I86"/>
    <mergeCell ref="AI85:AP86"/>
    <mergeCell ref="V81:W82"/>
    <mergeCell ref="Q81:R82"/>
    <mergeCell ref="Q110:R111"/>
    <mergeCell ref="V110:W111"/>
    <mergeCell ref="Q87:R88"/>
    <mergeCell ref="C83:E84"/>
    <mergeCell ref="F83:I84"/>
    <mergeCell ref="J83:P84"/>
    <mergeCell ref="X83:AD84"/>
    <mergeCell ref="AE87:AH88"/>
    <mergeCell ref="V87:W88"/>
    <mergeCell ref="F87:I88"/>
    <mergeCell ref="J87:P88"/>
    <mergeCell ref="X87:AD88"/>
    <mergeCell ref="C87:E88"/>
    <mergeCell ref="V85:W86"/>
    <mergeCell ref="Q85:R86"/>
    <mergeCell ref="Q83:R84"/>
    <mergeCell ref="AG101:AP101"/>
    <mergeCell ref="C102:D102"/>
    <mergeCell ref="E102:N102"/>
    <mergeCell ref="Q102:R102"/>
    <mergeCell ref="S102:AB102"/>
    <mergeCell ref="AE102:AF102"/>
    <mergeCell ref="AG102:AP102"/>
    <mergeCell ref="C99:D99"/>
    <mergeCell ref="Q108:R109"/>
    <mergeCell ref="F108:I109"/>
    <mergeCell ref="J108:P109"/>
    <mergeCell ref="X108:AD109"/>
    <mergeCell ref="V108:W109"/>
    <mergeCell ref="J106:P107"/>
    <mergeCell ref="X106:AD107"/>
    <mergeCell ref="F106:I107"/>
    <mergeCell ref="Q106:R107"/>
    <mergeCell ref="V106:W107"/>
    <mergeCell ref="F116:I117"/>
    <mergeCell ref="J116:P117"/>
    <mergeCell ref="X116:AD117"/>
    <mergeCell ref="C114:E115"/>
    <mergeCell ref="F114:I115"/>
    <mergeCell ref="J114:P115"/>
    <mergeCell ref="X114:AD115"/>
    <mergeCell ref="AI112:AP113"/>
    <mergeCell ref="AI114:AP115"/>
    <mergeCell ref="V116:W117"/>
    <mergeCell ref="Q116:R117"/>
    <mergeCell ref="AE114:AH115"/>
    <mergeCell ref="AE116:AH117"/>
    <mergeCell ref="V114:W115"/>
    <mergeCell ref="F112:I113"/>
    <mergeCell ref="AI116:AP117"/>
    <mergeCell ref="C112:E113"/>
    <mergeCell ref="AE112:AH113"/>
    <mergeCell ref="C116:E117"/>
    <mergeCell ref="V112:W113"/>
  </mergeCells>
  <phoneticPr fontId="53"/>
  <conditionalFormatting sqref="C5:AB9">
    <cfRule type="expression" dxfId="41" priority="6">
      <formula>IFERROR(COUNTIF($AR$13:$AS$25,C5),"")</formula>
    </cfRule>
  </conditionalFormatting>
  <conditionalFormatting sqref="C36:AB40">
    <cfRule type="expression" dxfId="40" priority="5">
      <formula>IFERROR(COUNTIF($AR$44:$AS$56,C36),"")</formula>
    </cfRule>
  </conditionalFormatting>
  <conditionalFormatting sqref="C67:AB71">
    <cfRule type="expression" dxfId="39" priority="3">
      <formula>IFERROR(COUNTIF($AR$75:$AS$87,C67),"")</formula>
    </cfRule>
  </conditionalFormatting>
  <conditionalFormatting sqref="C98:AB102">
    <cfRule type="expression" dxfId="38" priority="2">
      <formula>IFERROR(COUNTIF($AR$106:$AS$118,C98),"")</formula>
    </cfRule>
  </conditionalFormatting>
  <conditionalFormatting sqref="C129:AB133">
    <cfRule type="expression" dxfId="37" priority="1">
      <formula>IFERROR(COUNTIF($AR$137:$AS$145,C129),"")</formula>
    </cfRule>
  </conditionalFormatting>
  <printOptions horizontalCentered="1" verticalCentered="1"/>
  <pageMargins left="0.39305555555555599" right="0.39305555555555599" top="0.39305555555555599" bottom="0.39305555555555599" header="0.31388888888888899" footer="0.31388888888888899"/>
  <pageSetup paperSize="9" scale="83" pageOrder="overThenDown" orientation="landscape" r:id="rId1"/>
  <rowBreaks count="4" manualBreakCount="4">
    <brk id="31" max="85" man="1"/>
    <brk id="62" max="85" man="1"/>
    <brk id="93" max="85" man="1"/>
    <brk id="124" max="8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C4B9F-EA7D-4E81-A0AB-AF1CC9210684}">
  <dimension ref="A1:AT155"/>
  <sheetViews>
    <sheetView view="pageBreakPreview" topLeftCell="A32" zoomScaleNormal="100" zoomScaleSheetLayoutView="100" workbookViewId="0">
      <selection activeCell="A32" sqref="A32:AQ33"/>
    </sheetView>
  </sheetViews>
  <sheetFormatPr defaultRowHeight="14.25" x14ac:dyDescent="0.4"/>
  <cols>
    <col min="1" max="43" width="3.125" style="191" customWidth="1"/>
    <col min="44" max="45" width="3.125" style="191" hidden="1" customWidth="1"/>
    <col min="46" max="51" width="3.125" style="191" customWidth="1"/>
    <col min="52" max="16384" width="9" style="191"/>
  </cols>
  <sheetData>
    <row r="1" spans="1:46" ht="14.25" customHeight="1" x14ac:dyDescent="0.4">
      <c r="A1" s="451" t="s">
        <v>531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51"/>
      <c r="Z1" s="451"/>
      <c r="AA1" s="451"/>
      <c r="AB1" s="451"/>
      <c r="AC1" s="451"/>
      <c r="AD1" s="451"/>
      <c r="AE1" s="451"/>
      <c r="AF1" s="451"/>
      <c r="AG1" s="451"/>
      <c r="AH1" s="451"/>
      <c r="AI1" s="451"/>
      <c r="AJ1" s="451"/>
      <c r="AK1" s="451"/>
      <c r="AL1" s="451"/>
      <c r="AM1" s="451"/>
      <c r="AN1" s="451"/>
      <c r="AO1" s="451"/>
      <c r="AP1" s="451"/>
      <c r="AQ1" s="451"/>
      <c r="AR1" s="56"/>
      <c r="AS1" s="56"/>
    </row>
    <row r="2" spans="1:46" ht="14.25" customHeight="1" x14ac:dyDescent="0.4">
      <c r="A2" s="451"/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1"/>
      <c r="AG2" s="451"/>
      <c r="AH2" s="451"/>
      <c r="AI2" s="451"/>
      <c r="AJ2" s="451"/>
      <c r="AK2" s="451"/>
      <c r="AL2" s="451"/>
      <c r="AM2" s="451"/>
      <c r="AN2" s="451"/>
      <c r="AO2" s="451"/>
      <c r="AP2" s="451"/>
      <c r="AQ2" s="451"/>
      <c r="AR2" s="56"/>
      <c r="AS2" s="56"/>
    </row>
    <row r="3" spans="1:46" ht="27.75" customHeight="1" x14ac:dyDescent="0.4">
      <c r="A3" s="56"/>
      <c r="B3" s="56"/>
      <c r="C3" s="460" t="s">
        <v>8</v>
      </c>
      <c r="D3" s="460"/>
      <c r="E3" s="460"/>
      <c r="F3" s="460"/>
      <c r="G3" s="482" t="str">
        <f>U12対戦スケジュール!D6</f>
        <v>グリーンパーク白沢 Ｂ</v>
      </c>
      <c r="H3" s="460"/>
      <c r="I3" s="460"/>
      <c r="J3" s="460"/>
      <c r="K3" s="460"/>
      <c r="L3" s="460"/>
      <c r="M3" s="460"/>
      <c r="N3" s="460"/>
      <c r="O3" s="460"/>
      <c r="P3" s="460" t="s">
        <v>0</v>
      </c>
      <c r="Q3" s="460"/>
      <c r="R3" s="460"/>
      <c r="S3" s="460"/>
      <c r="T3" s="482" t="str">
        <f>U12対戦スケジュール!D7</f>
        <v>ともぞうＳＣ</v>
      </c>
      <c r="U3" s="460"/>
      <c r="V3" s="460"/>
      <c r="W3" s="460"/>
      <c r="X3" s="460"/>
      <c r="Y3" s="460"/>
      <c r="Z3" s="460"/>
      <c r="AA3" s="460"/>
      <c r="AB3" s="460"/>
      <c r="AC3" s="460" t="s">
        <v>9</v>
      </c>
      <c r="AD3" s="460"/>
      <c r="AE3" s="460"/>
      <c r="AF3" s="460"/>
      <c r="AG3" s="484">
        <f>U12組合せ!$B28</f>
        <v>43716</v>
      </c>
      <c r="AH3" s="485"/>
      <c r="AI3" s="485"/>
      <c r="AJ3" s="485"/>
      <c r="AK3" s="485"/>
      <c r="AL3" s="485"/>
      <c r="AM3" s="488" t="str">
        <f>"（"&amp;TEXT(AG3,"aaa")&amp;"）"</f>
        <v>（日）</v>
      </c>
      <c r="AN3" s="488"/>
      <c r="AO3" s="489"/>
      <c r="AP3" s="56"/>
      <c r="AQ3" s="56"/>
      <c r="AR3" s="56"/>
      <c r="AS3" s="56"/>
    </row>
    <row r="4" spans="1:46" ht="15" customHeight="1" x14ac:dyDescent="0.4">
      <c r="A4" s="56"/>
      <c r="B4" s="56"/>
      <c r="C4" s="56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64"/>
      <c r="X4" s="64"/>
      <c r="Y4" s="64"/>
      <c r="Z4" s="64"/>
      <c r="AA4" s="64"/>
      <c r="AB4" s="64"/>
      <c r="AC4" s="64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</row>
    <row r="5" spans="1:46" ht="18" customHeight="1" x14ac:dyDescent="0.4">
      <c r="A5" s="56"/>
      <c r="B5" s="56"/>
      <c r="C5" s="475" t="s">
        <v>10</v>
      </c>
      <c r="D5" s="475"/>
      <c r="E5" s="476" t="str">
        <f>U12組合せ!$D14</f>
        <v>岡西ＦＣ</v>
      </c>
      <c r="F5" s="476"/>
      <c r="G5" s="476"/>
      <c r="H5" s="476"/>
      <c r="I5" s="476"/>
      <c r="J5" s="476"/>
      <c r="K5" s="476"/>
      <c r="L5" s="476"/>
      <c r="M5" s="476"/>
      <c r="N5" s="476"/>
      <c r="O5" s="58"/>
      <c r="P5" s="58"/>
      <c r="Q5" s="475" t="s">
        <v>11</v>
      </c>
      <c r="R5" s="475"/>
      <c r="S5" s="476" t="str">
        <f>U12組合せ!$D19</f>
        <v>宝木キッカーズ</v>
      </c>
      <c r="T5" s="476"/>
      <c r="U5" s="476"/>
      <c r="V5" s="476"/>
      <c r="W5" s="476"/>
      <c r="X5" s="476"/>
      <c r="Y5" s="476"/>
      <c r="Z5" s="476"/>
      <c r="AA5" s="476"/>
      <c r="AB5" s="476"/>
      <c r="AC5" s="68"/>
      <c r="AD5" s="58"/>
      <c r="AE5" s="512" t="s">
        <v>20</v>
      </c>
      <c r="AF5" s="512"/>
      <c r="AG5" s="511" t="str">
        <f>U12組合せ!F20</f>
        <v>ともぞうＳＣ</v>
      </c>
      <c r="AH5" s="513"/>
      <c r="AI5" s="513"/>
      <c r="AJ5" s="513"/>
      <c r="AK5" s="513"/>
      <c r="AL5" s="513"/>
      <c r="AM5" s="513"/>
      <c r="AN5" s="513"/>
      <c r="AO5" s="513"/>
      <c r="AP5" s="513"/>
      <c r="AQ5" s="56"/>
      <c r="AR5" s="56"/>
      <c r="AS5" s="56"/>
    </row>
    <row r="6" spans="1:46" ht="18" customHeight="1" x14ac:dyDescent="0.4">
      <c r="A6" s="56"/>
      <c r="B6" s="56"/>
      <c r="C6" s="475" t="s">
        <v>13</v>
      </c>
      <c r="D6" s="475"/>
      <c r="E6" s="476" t="str">
        <f>U12組合せ!$D15</f>
        <v>国本ＪＳＣ</v>
      </c>
      <c r="F6" s="476"/>
      <c r="G6" s="476"/>
      <c r="H6" s="476"/>
      <c r="I6" s="476"/>
      <c r="J6" s="476"/>
      <c r="K6" s="476"/>
      <c r="L6" s="476"/>
      <c r="M6" s="476"/>
      <c r="N6" s="476"/>
      <c r="O6" s="58"/>
      <c r="P6" s="58"/>
      <c r="Q6" s="475" t="s">
        <v>14</v>
      </c>
      <c r="R6" s="475"/>
      <c r="S6" s="476" t="str">
        <f>U12組合せ!$D20</f>
        <v>サウス宇都宮ＳＣ</v>
      </c>
      <c r="T6" s="476"/>
      <c r="U6" s="476"/>
      <c r="V6" s="476"/>
      <c r="W6" s="476"/>
      <c r="X6" s="476"/>
      <c r="Y6" s="476"/>
      <c r="Z6" s="476"/>
      <c r="AA6" s="476"/>
      <c r="AB6" s="476"/>
      <c r="AC6" s="68"/>
      <c r="AD6" s="55"/>
      <c r="AE6" s="512" t="s">
        <v>535</v>
      </c>
      <c r="AF6" s="512"/>
      <c r="AG6" s="515" t="str">
        <f>U12組合せ!F21</f>
        <v>FCブロケード・陽東U11</v>
      </c>
      <c r="AH6" s="516"/>
      <c r="AI6" s="516"/>
      <c r="AJ6" s="516"/>
      <c r="AK6" s="516"/>
      <c r="AL6" s="516"/>
      <c r="AM6" s="516"/>
      <c r="AN6" s="516"/>
      <c r="AO6" s="516"/>
      <c r="AP6" s="517"/>
      <c r="AQ6" s="56"/>
      <c r="AR6" s="56"/>
      <c r="AS6" s="56"/>
    </row>
    <row r="7" spans="1:46" ht="18" customHeight="1" x14ac:dyDescent="0.4">
      <c r="A7" s="56"/>
      <c r="B7" s="56"/>
      <c r="C7" s="475" t="s">
        <v>15</v>
      </c>
      <c r="D7" s="475"/>
      <c r="E7" s="476" t="str">
        <f>U12組合せ!$D16</f>
        <v>カテット白沢U11</v>
      </c>
      <c r="F7" s="476"/>
      <c r="G7" s="476"/>
      <c r="H7" s="476"/>
      <c r="I7" s="476"/>
      <c r="J7" s="476"/>
      <c r="K7" s="476"/>
      <c r="L7" s="476"/>
      <c r="M7" s="476"/>
      <c r="N7" s="476"/>
      <c r="O7" s="58"/>
      <c r="P7" s="58"/>
      <c r="Q7" s="475" t="s">
        <v>16</v>
      </c>
      <c r="R7" s="475"/>
      <c r="S7" s="476" t="str">
        <f>U12組合せ!$D21</f>
        <v>ブラッドレスＳＳ</v>
      </c>
      <c r="T7" s="476"/>
      <c r="U7" s="476"/>
      <c r="V7" s="476"/>
      <c r="W7" s="476"/>
      <c r="X7" s="476"/>
      <c r="Y7" s="476"/>
      <c r="Z7" s="476"/>
      <c r="AA7" s="476"/>
      <c r="AB7" s="476"/>
      <c r="AC7" s="68"/>
      <c r="AD7" s="55"/>
      <c r="AE7" s="514" t="s">
        <v>537</v>
      </c>
      <c r="AF7" s="514"/>
      <c r="AG7" s="511" t="str">
        <f>U12組合せ!F22</f>
        <v>上三川ＳＣ</v>
      </c>
      <c r="AH7" s="513"/>
      <c r="AI7" s="513"/>
      <c r="AJ7" s="513"/>
      <c r="AK7" s="513"/>
      <c r="AL7" s="513"/>
      <c r="AM7" s="513"/>
      <c r="AN7" s="513"/>
      <c r="AO7" s="513"/>
      <c r="AP7" s="513"/>
      <c r="AQ7" s="56"/>
      <c r="AR7" s="56"/>
      <c r="AS7" s="56"/>
    </row>
    <row r="8" spans="1:46" ht="18" customHeight="1" x14ac:dyDescent="0.4">
      <c r="A8" s="56"/>
      <c r="B8" s="56"/>
      <c r="C8" s="475" t="s">
        <v>18</v>
      </c>
      <c r="D8" s="475"/>
      <c r="E8" s="476" t="str">
        <f>U12組合せ!$D17</f>
        <v>ＦＣアリーバ</v>
      </c>
      <c r="F8" s="476"/>
      <c r="G8" s="476"/>
      <c r="H8" s="476"/>
      <c r="I8" s="476"/>
      <c r="J8" s="476"/>
      <c r="K8" s="476"/>
      <c r="L8" s="476"/>
      <c r="M8" s="476"/>
      <c r="N8" s="476"/>
      <c r="O8" s="58"/>
      <c r="P8" s="58"/>
      <c r="Q8" s="475" t="s">
        <v>19</v>
      </c>
      <c r="R8" s="475"/>
      <c r="S8" s="476" t="str">
        <f>U12組合せ!$D22</f>
        <v>泉ＦＣ宇都宮</v>
      </c>
      <c r="T8" s="476"/>
      <c r="U8" s="476"/>
      <c r="V8" s="476"/>
      <c r="W8" s="476"/>
      <c r="X8" s="476"/>
      <c r="Y8" s="476"/>
      <c r="Z8" s="476"/>
      <c r="AA8" s="476"/>
      <c r="AB8" s="476"/>
      <c r="AC8" s="68"/>
      <c r="AD8" s="58"/>
      <c r="AE8" s="475"/>
      <c r="AF8" s="475"/>
      <c r="AG8" s="511"/>
      <c r="AH8" s="476"/>
      <c r="AI8" s="476"/>
      <c r="AJ8" s="476"/>
      <c r="AK8" s="476"/>
      <c r="AL8" s="476"/>
      <c r="AM8" s="476"/>
      <c r="AN8" s="476"/>
      <c r="AO8" s="476"/>
      <c r="AP8" s="476"/>
      <c r="AQ8" s="57"/>
      <c r="AR8" s="56"/>
      <c r="AS8" s="56"/>
    </row>
    <row r="9" spans="1:46" ht="18" customHeight="1" x14ac:dyDescent="0.4">
      <c r="A9" s="56"/>
      <c r="B9" s="56"/>
      <c r="C9" s="475" t="s">
        <v>21</v>
      </c>
      <c r="D9" s="475"/>
      <c r="E9" s="476" t="str">
        <f>U12組合せ!$D18</f>
        <v>ｕｎｉｏｎｓｃU12</v>
      </c>
      <c r="F9" s="476"/>
      <c r="G9" s="476"/>
      <c r="H9" s="476"/>
      <c r="I9" s="476"/>
      <c r="J9" s="476"/>
      <c r="K9" s="476"/>
      <c r="L9" s="476"/>
      <c r="M9" s="476"/>
      <c r="N9" s="476"/>
      <c r="O9" s="58"/>
      <c r="P9" s="58"/>
      <c r="Q9" s="475" t="s">
        <v>22</v>
      </c>
      <c r="R9" s="475"/>
      <c r="S9" s="476" t="str">
        <f>U12組合せ!$D23</f>
        <v>昭和・戸祭ＳＣ-S</v>
      </c>
      <c r="T9" s="476"/>
      <c r="U9" s="476"/>
      <c r="V9" s="476"/>
      <c r="W9" s="476"/>
      <c r="X9" s="476"/>
      <c r="Y9" s="476"/>
      <c r="Z9" s="476"/>
      <c r="AA9" s="476"/>
      <c r="AB9" s="476"/>
      <c r="AC9" s="68"/>
      <c r="AD9" s="55"/>
      <c r="AE9" s="475"/>
      <c r="AF9" s="475"/>
      <c r="AG9" s="515"/>
      <c r="AH9" s="454"/>
      <c r="AI9" s="454"/>
      <c r="AJ9" s="454"/>
      <c r="AK9" s="454"/>
      <c r="AL9" s="454"/>
      <c r="AM9" s="454"/>
      <c r="AN9" s="454"/>
      <c r="AO9" s="454"/>
      <c r="AP9" s="455"/>
      <c r="AQ9" s="56"/>
      <c r="AR9" s="56"/>
      <c r="AS9" s="56"/>
    </row>
    <row r="10" spans="1:46" ht="15" customHeight="1" x14ac:dyDescent="0.4">
      <c r="A10" s="56"/>
      <c r="B10" s="56"/>
      <c r="C10" s="103"/>
      <c r="D10" s="104"/>
      <c r="E10" s="104"/>
      <c r="F10" s="104"/>
      <c r="G10" s="104"/>
      <c r="H10" s="104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104"/>
      <c r="U10" s="57"/>
      <c r="V10" s="104"/>
      <c r="W10" s="57"/>
      <c r="X10" s="104"/>
      <c r="Y10" s="57"/>
      <c r="Z10" s="104"/>
      <c r="AA10" s="57"/>
      <c r="AB10" s="104"/>
      <c r="AC10" s="104"/>
      <c r="AD10" s="56"/>
      <c r="AE10" s="524"/>
      <c r="AF10" s="524"/>
      <c r="AG10" s="525"/>
      <c r="AH10" s="526"/>
      <c r="AI10" s="526"/>
      <c r="AJ10" s="526"/>
      <c r="AK10" s="526"/>
      <c r="AL10" s="526"/>
      <c r="AM10" s="526"/>
      <c r="AN10" s="526"/>
      <c r="AO10" s="526"/>
      <c r="AP10" s="526"/>
      <c r="AQ10" s="56"/>
      <c r="AR10" s="56"/>
      <c r="AS10" s="56"/>
    </row>
    <row r="11" spans="1:46" ht="21" customHeight="1" x14ac:dyDescent="0.4">
      <c r="A11" s="56"/>
      <c r="B11" s="56" t="s">
        <v>568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</row>
    <row r="12" spans="1:46" ht="20.25" customHeight="1" x14ac:dyDescent="0.4">
      <c r="A12" s="56"/>
      <c r="B12" s="219"/>
      <c r="C12" s="456" t="s">
        <v>25</v>
      </c>
      <c r="D12" s="456"/>
      <c r="E12" s="456"/>
      <c r="F12" s="458" t="s">
        <v>26</v>
      </c>
      <c r="G12" s="459"/>
      <c r="H12" s="459"/>
      <c r="I12" s="459"/>
      <c r="J12" s="456" t="s">
        <v>27</v>
      </c>
      <c r="K12" s="457"/>
      <c r="L12" s="457"/>
      <c r="M12" s="457"/>
      <c r="N12" s="457"/>
      <c r="O12" s="457"/>
      <c r="P12" s="457"/>
      <c r="Q12" s="456" t="s">
        <v>540</v>
      </c>
      <c r="R12" s="456"/>
      <c r="S12" s="456"/>
      <c r="T12" s="456"/>
      <c r="U12" s="456"/>
      <c r="V12" s="456"/>
      <c r="W12" s="456"/>
      <c r="X12" s="456" t="s">
        <v>27</v>
      </c>
      <c r="Y12" s="457"/>
      <c r="Z12" s="457"/>
      <c r="AA12" s="457"/>
      <c r="AB12" s="457"/>
      <c r="AC12" s="457"/>
      <c r="AD12" s="457"/>
      <c r="AE12" s="458" t="s">
        <v>26</v>
      </c>
      <c r="AF12" s="459"/>
      <c r="AG12" s="459"/>
      <c r="AH12" s="459"/>
      <c r="AI12" s="456" t="s">
        <v>29</v>
      </c>
      <c r="AJ12" s="456"/>
      <c r="AK12" s="457"/>
      <c r="AL12" s="457"/>
      <c r="AM12" s="457"/>
      <c r="AN12" s="457"/>
      <c r="AO12" s="457"/>
      <c r="AP12" s="457"/>
      <c r="AQ12" s="56"/>
      <c r="AR12" s="56"/>
      <c r="AS12" s="56"/>
    </row>
    <row r="13" spans="1:46" ht="20.100000000000001" customHeight="1" x14ac:dyDescent="0.4">
      <c r="A13" s="56"/>
      <c r="B13" s="472">
        <v>1</v>
      </c>
      <c r="C13" s="452">
        <v>0.35416666666666669</v>
      </c>
      <c r="D13" s="452"/>
      <c r="E13" s="452"/>
      <c r="F13" s="443"/>
      <c r="G13" s="444"/>
      <c r="H13" s="444"/>
      <c r="I13" s="444"/>
      <c r="J13" s="445" t="str">
        <f>IFERROR(VLOOKUP(AR13,$C$5:$N$9,3,0),"")&amp;IFERROR(VLOOKUP(AR13,$Q$5:$AB$9,3,0),"")&amp;IFERROR(VLOOKUP(AR13,$AE$5:$AP$7,3,0),"")</f>
        <v>カテット白沢U11</v>
      </c>
      <c r="K13" s="446"/>
      <c r="L13" s="446"/>
      <c r="M13" s="446"/>
      <c r="N13" s="446"/>
      <c r="O13" s="446"/>
      <c r="P13" s="446"/>
      <c r="Q13" s="450">
        <f>IF(OR(S13="",S14=""),"",S13+S14)</f>
        <v>0</v>
      </c>
      <c r="R13" s="450"/>
      <c r="S13" s="220">
        <v>0</v>
      </c>
      <c r="T13" s="221" t="s">
        <v>30</v>
      </c>
      <c r="U13" s="220">
        <v>1</v>
      </c>
      <c r="V13" s="450">
        <f>IF(OR(U13="",U14=""),"",U13+U14)</f>
        <v>2</v>
      </c>
      <c r="W13" s="450"/>
      <c r="X13" s="447" t="str">
        <f>IFERROR(VLOOKUP(AS13,$C$5:$N$9,3,0),"")&amp;IFERROR(VLOOKUP(AS13,$Q$5:$AB$9,3,0),"")&amp;IFERROR(VLOOKUP(AS13,$AE$5:$AP$7,3,0),"")</f>
        <v>ＦＣアリーバ</v>
      </c>
      <c r="Y13" s="448"/>
      <c r="Z13" s="448"/>
      <c r="AA13" s="448"/>
      <c r="AB13" s="448"/>
      <c r="AC13" s="448"/>
      <c r="AD13" s="448"/>
      <c r="AE13" s="443"/>
      <c r="AF13" s="444"/>
      <c r="AG13" s="444"/>
      <c r="AH13" s="444"/>
      <c r="AI13" s="450" t="str">
        <f ca="1">DBCS(INDIRECT("U12対戦スケジュール!e"&amp;(ROW()-1)/2+2))</f>
        <v>Ｂ７／Ｂ８／Ｂ８／Ｂ７</v>
      </c>
      <c r="AJ13" s="444"/>
      <c r="AK13" s="444"/>
      <c r="AL13" s="444"/>
      <c r="AM13" s="444"/>
      <c r="AN13" s="444"/>
      <c r="AO13" s="444"/>
      <c r="AP13" s="444"/>
      <c r="AQ13" s="56"/>
      <c r="AR13" s="56" t="s">
        <v>15</v>
      </c>
      <c r="AS13" s="56" t="s">
        <v>18</v>
      </c>
      <c r="AT13" s="195"/>
    </row>
    <row r="14" spans="1:46" ht="20.100000000000001" customHeight="1" x14ac:dyDescent="0.4">
      <c r="A14" s="56"/>
      <c r="B14" s="472"/>
      <c r="C14" s="452"/>
      <c r="D14" s="452"/>
      <c r="E14" s="452"/>
      <c r="F14" s="444"/>
      <c r="G14" s="444"/>
      <c r="H14" s="444"/>
      <c r="I14" s="444"/>
      <c r="J14" s="446"/>
      <c r="K14" s="446"/>
      <c r="L14" s="446"/>
      <c r="M14" s="446"/>
      <c r="N14" s="446"/>
      <c r="O14" s="446"/>
      <c r="P14" s="446"/>
      <c r="Q14" s="450"/>
      <c r="R14" s="450"/>
      <c r="S14" s="220">
        <v>0</v>
      </c>
      <c r="T14" s="221" t="s">
        <v>30</v>
      </c>
      <c r="U14" s="220">
        <v>1</v>
      </c>
      <c r="V14" s="450"/>
      <c r="W14" s="450"/>
      <c r="X14" s="448"/>
      <c r="Y14" s="448"/>
      <c r="Z14" s="448"/>
      <c r="AA14" s="448"/>
      <c r="AB14" s="448"/>
      <c r="AC14" s="448"/>
      <c r="AD14" s="448"/>
      <c r="AE14" s="444"/>
      <c r="AF14" s="444"/>
      <c r="AG14" s="444"/>
      <c r="AH14" s="444"/>
      <c r="AI14" s="444"/>
      <c r="AJ14" s="444"/>
      <c r="AK14" s="444"/>
      <c r="AL14" s="444"/>
      <c r="AM14" s="444"/>
      <c r="AN14" s="444"/>
      <c r="AO14" s="444"/>
      <c r="AP14" s="444"/>
      <c r="AQ14" s="56"/>
      <c r="AR14" s="56"/>
      <c r="AS14" s="56"/>
      <c r="AT14" s="195"/>
    </row>
    <row r="15" spans="1:46" ht="20.100000000000001" customHeight="1" x14ac:dyDescent="0.4">
      <c r="A15" s="56"/>
      <c r="B15" s="472">
        <v>2</v>
      </c>
      <c r="C15" s="452">
        <v>0.3888888888888889</v>
      </c>
      <c r="D15" s="452">
        <v>0.4375</v>
      </c>
      <c r="E15" s="452"/>
      <c r="F15" s="443"/>
      <c r="G15" s="444"/>
      <c r="H15" s="444"/>
      <c r="I15" s="444"/>
      <c r="J15" s="445" t="str">
        <f t="shared" ref="J15" si="0">IFERROR(VLOOKUP(AR15,$C$5:$N$9,3,0),"")&amp;IFERROR(VLOOKUP(AR15,$Q$5:$AB$9,3,0),"")&amp;IFERROR(VLOOKUP(AR15,$AE$5:$AP$7,3,0),"")</f>
        <v>ともぞうＳＣ</v>
      </c>
      <c r="K15" s="446"/>
      <c r="L15" s="446"/>
      <c r="M15" s="446"/>
      <c r="N15" s="446"/>
      <c r="O15" s="446"/>
      <c r="P15" s="446"/>
      <c r="Q15" s="450">
        <f>IF(OR(S15="",S16=""),"",S15+S16)</f>
        <v>14</v>
      </c>
      <c r="R15" s="450"/>
      <c r="S15" s="220">
        <v>8</v>
      </c>
      <c r="T15" s="221" t="s">
        <v>30</v>
      </c>
      <c r="U15" s="220">
        <v>0</v>
      </c>
      <c r="V15" s="450">
        <f>IF(OR(U15="",U16=""),"",U15+U16)</f>
        <v>0</v>
      </c>
      <c r="W15" s="450"/>
      <c r="X15" s="447" t="str">
        <f t="shared" ref="X15" si="1">IFERROR(VLOOKUP(AS15,$C$5:$N$9,3,0),"")&amp;IFERROR(VLOOKUP(AS15,$Q$5:$AB$9,3,0),"")&amp;IFERROR(VLOOKUP(AS15,$AE$5:$AP$7,3,0),"")</f>
        <v>FCブロケード・陽東U11</v>
      </c>
      <c r="Y15" s="448"/>
      <c r="Z15" s="448"/>
      <c r="AA15" s="448"/>
      <c r="AB15" s="448"/>
      <c r="AC15" s="448"/>
      <c r="AD15" s="448"/>
      <c r="AE15" s="443"/>
      <c r="AF15" s="444"/>
      <c r="AG15" s="444"/>
      <c r="AH15" s="444"/>
      <c r="AI15" s="450" t="str">
        <f ca="1">DBCS(INDIRECT("U12対戦スケジュール!e"&amp;(ROW()-1)/2+2))</f>
        <v>Ａ３／Ａ４／Ａ４／Ａ３</v>
      </c>
      <c r="AJ15" s="444"/>
      <c r="AK15" s="444"/>
      <c r="AL15" s="444"/>
      <c r="AM15" s="444"/>
      <c r="AN15" s="444"/>
      <c r="AO15" s="444"/>
      <c r="AP15" s="444"/>
      <c r="AQ15" s="56"/>
      <c r="AR15" s="56" t="s">
        <v>534</v>
      </c>
      <c r="AS15" s="56" t="s">
        <v>535</v>
      </c>
      <c r="AT15" s="195"/>
    </row>
    <row r="16" spans="1:46" ht="20.100000000000001" customHeight="1" x14ac:dyDescent="0.4">
      <c r="A16" s="56"/>
      <c r="B16" s="472"/>
      <c r="C16" s="452"/>
      <c r="D16" s="452"/>
      <c r="E16" s="452"/>
      <c r="F16" s="444"/>
      <c r="G16" s="444"/>
      <c r="H16" s="444"/>
      <c r="I16" s="444"/>
      <c r="J16" s="446"/>
      <c r="K16" s="446"/>
      <c r="L16" s="446"/>
      <c r="M16" s="446"/>
      <c r="N16" s="446"/>
      <c r="O16" s="446"/>
      <c r="P16" s="446"/>
      <c r="Q16" s="450"/>
      <c r="R16" s="450"/>
      <c r="S16" s="220">
        <v>6</v>
      </c>
      <c r="T16" s="221" t="s">
        <v>30</v>
      </c>
      <c r="U16" s="220">
        <v>0</v>
      </c>
      <c r="V16" s="450"/>
      <c r="W16" s="450"/>
      <c r="X16" s="448"/>
      <c r="Y16" s="448"/>
      <c r="Z16" s="448"/>
      <c r="AA16" s="448"/>
      <c r="AB16" s="448"/>
      <c r="AC16" s="448"/>
      <c r="AD16" s="448"/>
      <c r="AE16" s="444"/>
      <c r="AF16" s="444"/>
      <c r="AG16" s="444"/>
      <c r="AH16" s="444"/>
      <c r="AI16" s="444"/>
      <c r="AJ16" s="444"/>
      <c r="AK16" s="444"/>
      <c r="AL16" s="444"/>
      <c r="AM16" s="444"/>
      <c r="AN16" s="444"/>
      <c r="AO16" s="444"/>
      <c r="AP16" s="444"/>
      <c r="AQ16" s="56"/>
      <c r="AR16" s="56"/>
      <c r="AS16" s="56"/>
      <c r="AT16" s="195"/>
    </row>
    <row r="17" spans="1:46" ht="20.100000000000001" customHeight="1" x14ac:dyDescent="0.4">
      <c r="A17" s="56"/>
      <c r="B17" s="472">
        <v>3</v>
      </c>
      <c r="C17" s="452">
        <v>0.4236111111111111</v>
      </c>
      <c r="D17" s="452"/>
      <c r="E17" s="452"/>
      <c r="F17" s="443"/>
      <c r="G17" s="444"/>
      <c r="H17" s="444"/>
      <c r="I17" s="444"/>
      <c r="J17" s="445" t="str">
        <f t="shared" ref="J17" si="2">IFERROR(VLOOKUP(AR17,$C$5:$N$9,3,0),"")&amp;IFERROR(VLOOKUP(AR17,$Q$5:$AB$9,3,0),"")&amp;IFERROR(VLOOKUP(AR17,$AE$5:$AP$7,3,0),"")</f>
        <v>泉ＦＣ宇都宮</v>
      </c>
      <c r="K17" s="446"/>
      <c r="L17" s="446"/>
      <c r="M17" s="446"/>
      <c r="N17" s="446"/>
      <c r="O17" s="446"/>
      <c r="P17" s="446"/>
      <c r="Q17" s="450">
        <f>IF(OR(S17="",S18=""),"",S17+S18)</f>
        <v>1</v>
      </c>
      <c r="R17" s="450"/>
      <c r="S17" s="220">
        <v>1</v>
      </c>
      <c r="T17" s="221" t="s">
        <v>30</v>
      </c>
      <c r="U17" s="220">
        <v>2</v>
      </c>
      <c r="V17" s="450">
        <f>IF(OR(U17="",U18=""),"",U17+U18)</f>
        <v>2</v>
      </c>
      <c r="W17" s="450"/>
      <c r="X17" s="447" t="str">
        <f t="shared" ref="X17" si="3">IFERROR(VLOOKUP(AS17,$C$5:$N$9,3,0),"")&amp;IFERROR(VLOOKUP(AS17,$Q$5:$AB$9,3,0),"")&amp;IFERROR(VLOOKUP(AS17,$AE$5:$AP$7,3,0),"")</f>
        <v>昭和・戸祭ＳＣ-S</v>
      </c>
      <c r="Y17" s="448"/>
      <c r="Z17" s="448"/>
      <c r="AA17" s="448"/>
      <c r="AB17" s="448"/>
      <c r="AC17" s="448"/>
      <c r="AD17" s="448"/>
      <c r="AE17" s="443"/>
      <c r="AF17" s="444"/>
      <c r="AG17" s="444"/>
      <c r="AH17" s="444"/>
      <c r="AI17" s="450" t="str">
        <f ca="1">DBCS(INDIRECT("U12対戦スケジュール!e"&amp;(ROW()-1)/2+2))</f>
        <v>Ｂ９／Ｂ７／Ｂ７／Ｂ９</v>
      </c>
      <c r="AJ17" s="444"/>
      <c r="AK17" s="444"/>
      <c r="AL17" s="444"/>
      <c r="AM17" s="444"/>
      <c r="AN17" s="444"/>
      <c r="AO17" s="444"/>
      <c r="AP17" s="444"/>
      <c r="AQ17" s="56"/>
      <c r="AR17" s="56" t="s">
        <v>19</v>
      </c>
      <c r="AS17" s="56" t="s">
        <v>22</v>
      </c>
      <c r="AT17" s="195"/>
    </row>
    <row r="18" spans="1:46" ht="20.100000000000001" customHeight="1" x14ac:dyDescent="0.4">
      <c r="A18" s="56"/>
      <c r="B18" s="472"/>
      <c r="C18" s="452"/>
      <c r="D18" s="452"/>
      <c r="E18" s="452"/>
      <c r="F18" s="444"/>
      <c r="G18" s="444"/>
      <c r="H18" s="444"/>
      <c r="I18" s="444"/>
      <c r="J18" s="446"/>
      <c r="K18" s="446"/>
      <c r="L18" s="446"/>
      <c r="M18" s="446"/>
      <c r="N18" s="446"/>
      <c r="O18" s="446"/>
      <c r="P18" s="446"/>
      <c r="Q18" s="450"/>
      <c r="R18" s="450"/>
      <c r="S18" s="220">
        <v>0</v>
      </c>
      <c r="T18" s="221" t="s">
        <v>30</v>
      </c>
      <c r="U18" s="220">
        <v>0</v>
      </c>
      <c r="V18" s="450"/>
      <c r="W18" s="450"/>
      <c r="X18" s="448"/>
      <c r="Y18" s="448"/>
      <c r="Z18" s="448"/>
      <c r="AA18" s="448"/>
      <c r="AB18" s="448"/>
      <c r="AC18" s="448"/>
      <c r="AD18" s="448"/>
      <c r="AE18" s="444"/>
      <c r="AF18" s="444"/>
      <c r="AG18" s="444"/>
      <c r="AH18" s="444"/>
      <c r="AI18" s="444"/>
      <c r="AJ18" s="444"/>
      <c r="AK18" s="444"/>
      <c r="AL18" s="444"/>
      <c r="AM18" s="444"/>
      <c r="AN18" s="444"/>
      <c r="AO18" s="444"/>
      <c r="AP18" s="444"/>
      <c r="AQ18" s="56"/>
      <c r="AR18" s="56"/>
      <c r="AS18" s="56"/>
      <c r="AT18" s="195"/>
    </row>
    <row r="19" spans="1:46" ht="20.100000000000001" customHeight="1" x14ac:dyDescent="0.4">
      <c r="A19" s="56"/>
      <c r="B19" s="472">
        <v>4</v>
      </c>
      <c r="C19" s="452">
        <v>0.45833333333333331</v>
      </c>
      <c r="D19" s="452">
        <v>0.4375</v>
      </c>
      <c r="E19" s="452"/>
      <c r="F19" s="443"/>
      <c r="G19" s="444"/>
      <c r="H19" s="444"/>
      <c r="I19" s="444"/>
      <c r="J19" s="445" t="str">
        <f t="shared" ref="J19" si="4">IFERROR(VLOOKUP(AR19,$C$5:$N$9,3,0),"")&amp;IFERROR(VLOOKUP(AR19,$Q$5:$AB$9,3,0),"")&amp;IFERROR(VLOOKUP(AR19,$AE$5:$AP$7,3,0),"")</f>
        <v>上三川ＳＣ</v>
      </c>
      <c r="K19" s="446"/>
      <c r="L19" s="446"/>
      <c r="M19" s="446"/>
      <c r="N19" s="446"/>
      <c r="O19" s="446"/>
      <c r="P19" s="446"/>
      <c r="Q19" s="450">
        <f>IF(OR(S19="",S20=""),"",S19+S20)</f>
        <v>0</v>
      </c>
      <c r="R19" s="450"/>
      <c r="S19" s="220">
        <v>0</v>
      </c>
      <c r="T19" s="221" t="s">
        <v>30</v>
      </c>
      <c r="U19" s="220">
        <v>4</v>
      </c>
      <c r="V19" s="450">
        <f>IF(OR(U19="",U20=""),"",U19+U20)</f>
        <v>5</v>
      </c>
      <c r="W19" s="450"/>
      <c r="X19" s="447" t="str">
        <f t="shared" ref="X19" si="5">IFERROR(VLOOKUP(AS19,$C$5:$N$9,3,0),"")&amp;IFERROR(VLOOKUP(AS19,$Q$5:$AB$9,3,0),"")&amp;IFERROR(VLOOKUP(AS19,$AE$5:$AP$7,3,0),"")</f>
        <v>ともぞうＳＣ</v>
      </c>
      <c r="Y19" s="448"/>
      <c r="Z19" s="448"/>
      <c r="AA19" s="448"/>
      <c r="AB19" s="448"/>
      <c r="AC19" s="448"/>
      <c r="AD19" s="448"/>
      <c r="AE19" s="443"/>
      <c r="AF19" s="444"/>
      <c r="AG19" s="444"/>
      <c r="AH19" s="444"/>
      <c r="AI19" s="450" t="str">
        <f ca="1">DBCS(INDIRECT("U12対戦スケジュール!e"&amp;(ROW()-1)/2+2))</f>
        <v>Ａ９／Ａ１０／Ａ１０／Ａ９</v>
      </c>
      <c r="AJ19" s="444"/>
      <c r="AK19" s="444"/>
      <c r="AL19" s="444"/>
      <c r="AM19" s="444"/>
      <c r="AN19" s="444"/>
      <c r="AO19" s="444"/>
      <c r="AP19" s="444"/>
      <c r="AQ19" s="56"/>
      <c r="AR19" s="56" t="s">
        <v>23</v>
      </c>
      <c r="AS19" s="56" t="s">
        <v>534</v>
      </c>
      <c r="AT19" s="195"/>
    </row>
    <row r="20" spans="1:46" ht="20.100000000000001" customHeight="1" x14ac:dyDescent="0.4">
      <c r="A20" s="56"/>
      <c r="B20" s="472"/>
      <c r="C20" s="452"/>
      <c r="D20" s="452"/>
      <c r="E20" s="452"/>
      <c r="F20" s="444"/>
      <c r="G20" s="444"/>
      <c r="H20" s="444"/>
      <c r="I20" s="444"/>
      <c r="J20" s="446"/>
      <c r="K20" s="446"/>
      <c r="L20" s="446"/>
      <c r="M20" s="446"/>
      <c r="N20" s="446"/>
      <c r="O20" s="446"/>
      <c r="P20" s="446"/>
      <c r="Q20" s="450"/>
      <c r="R20" s="450"/>
      <c r="S20" s="220">
        <v>0</v>
      </c>
      <c r="T20" s="221" t="s">
        <v>30</v>
      </c>
      <c r="U20" s="220">
        <v>1</v>
      </c>
      <c r="V20" s="450"/>
      <c r="W20" s="450"/>
      <c r="X20" s="448"/>
      <c r="Y20" s="448"/>
      <c r="Z20" s="448"/>
      <c r="AA20" s="448"/>
      <c r="AB20" s="448"/>
      <c r="AC20" s="448"/>
      <c r="AD20" s="448"/>
      <c r="AE20" s="444"/>
      <c r="AF20" s="444"/>
      <c r="AG20" s="444"/>
      <c r="AH20" s="444"/>
      <c r="AI20" s="444"/>
      <c r="AJ20" s="444"/>
      <c r="AK20" s="444"/>
      <c r="AL20" s="444"/>
      <c r="AM20" s="444"/>
      <c r="AN20" s="444"/>
      <c r="AO20" s="444"/>
      <c r="AP20" s="444"/>
      <c r="AQ20" s="56"/>
      <c r="AR20" s="56"/>
      <c r="AS20" s="56"/>
      <c r="AT20" s="195"/>
    </row>
    <row r="21" spans="1:46" ht="20.100000000000001" customHeight="1" x14ac:dyDescent="0.4">
      <c r="A21" s="56"/>
      <c r="B21" s="472">
        <v>5</v>
      </c>
      <c r="C21" s="452">
        <v>0.49305555555555558</v>
      </c>
      <c r="D21" s="452"/>
      <c r="E21" s="452"/>
      <c r="F21" s="443"/>
      <c r="G21" s="444"/>
      <c r="H21" s="444"/>
      <c r="I21" s="444"/>
      <c r="J21" s="445" t="str">
        <f t="shared" ref="J21" si="6">IFERROR(VLOOKUP(AR21,$C$5:$N$9,3,0),"")&amp;IFERROR(VLOOKUP(AR21,$Q$5:$AB$9,3,0),"")&amp;IFERROR(VLOOKUP(AR21,$AE$5:$AP$7,3,0),"")</f>
        <v>宝木キッカーズ</v>
      </c>
      <c r="K21" s="446"/>
      <c r="L21" s="446"/>
      <c r="M21" s="446"/>
      <c r="N21" s="446"/>
      <c r="O21" s="446"/>
      <c r="P21" s="446"/>
      <c r="Q21" s="450">
        <f>IF(OR(S21="",S22=""),"",S21+S22)</f>
        <v>6</v>
      </c>
      <c r="R21" s="450"/>
      <c r="S21" s="220">
        <v>1</v>
      </c>
      <c r="T21" s="221" t="s">
        <v>30</v>
      </c>
      <c r="U21" s="220">
        <v>0</v>
      </c>
      <c r="V21" s="450">
        <f>IF(OR(U21="",U22=""),"",U21+U22)</f>
        <v>0</v>
      </c>
      <c r="W21" s="450"/>
      <c r="X21" s="447" t="str">
        <f t="shared" ref="X21" si="7">IFERROR(VLOOKUP(AS21,$C$5:$N$9,3,0),"")&amp;IFERROR(VLOOKUP(AS21,$Q$5:$AB$9,3,0),"")&amp;IFERROR(VLOOKUP(AS21,$AE$5:$AP$7,3,0),"")</f>
        <v>サウス宇都宮ＳＣ</v>
      </c>
      <c r="Y21" s="448"/>
      <c r="Z21" s="448"/>
      <c r="AA21" s="448"/>
      <c r="AB21" s="448"/>
      <c r="AC21" s="448"/>
      <c r="AD21" s="448"/>
      <c r="AE21" s="443"/>
      <c r="AF21" s="444"/>
      <c r="AG21" s="444"/>
      <c r="AH21" s="444"/>
      <c r="AI21" s="450" t="str">
        <f ca="1">DBCS(INDIRECT("U12対戦スケジュール!e"&amp;(ROW()-1)/2+2))</f>
        <v>Ｂ８／Ｂ９／Ｂ９／Ｂ８</v>
      </c>
      <c r="AJ21" s="444"/>
      <c r="AK21" s="444"/>
      <c r="AL21" s="444"/>
      <c r="AM21" s="444"/>
      <c r="AN21" s="444"/>
      <c r="AO21" s="444"/>
      <c r="AP21" s="444"/>
      <c r="AQ21" s="56"/>
      <c r="AR21" s="56" t="s">
        <v>11</v>
      </c>
      <c r="AS21" s="56" t="s">
        <v>14</v>
      </c>
      <c r="AT21" s="195"/>
    </row>
    <row r="22" spans="1:46" ht="20.100000000000001" customHeight="1" x14ac:dyDescent="0.4">
      <c r="A22" s="56"/>
      <c r="B22" s="472"/>
      <c r="C22" s="452"/>
      <c r="D22" s="452"/>
      <c r="E22" s="452"/>
      <c r="F22" s="444"/>
      <c r="G22" s="444"/>
      <c r="H22" s="444"/>
      <c r="I22" s="444"/>
      <c r="J22" s="446"/>
      <c r="K22" s="446"/>
      <c r="L22" s="446"/>
      <c r="M22" s="446"/>
      <c r="N22" s="446"/>
      <c r="O22" s="446"/>
      <c r="P22" s="446"/>
      <c r="Q22" s="450"/>
      <c r="R22" s="450"/>
      <c r="S22" s="220">
        <v>5</v>
      </c>
      <c r="T22" s="221" t="s">
        <v>30</v>
      </c>
      <c r="U22" s="220">
        <v>0</v>
      </c>
      <c r="V22" s="450"/>
      <c r="W22" s="450"/>
      <c r="X22" s="448"/>
      <c r="Y22" s="448"/>
      <c r="Z22" s="448"/>
      <c r="AA22" s="448"/>
      <c r="AB22" s="448"/>
      <c r="AC22" s="448"/>
      <c r="AD22" s="448"/>
      <c r="AE22" s="444"/>
      <c r="AF22" s="444"/>
      <c r="AG22" s="444"/>
      <c r="AH22" s="444"/>
      <c r="AI22" s="444"/>
      <c r="AJ22" s="444"/>
      <c r="AK22" s="444"/>
      <c r="AL22" s="444"/>
      <c r="AM22" s="444"/>
      <c r="AN22" s="444"/>
      <c r="AO22" s="444"/>
      <c r="AP22" s="444"/>
      <c r="AQ22" s="56"/>
      <c r="AR22" s="56"/>
      <c r="AS22" s="56"/>
      <c r="AT22" s="195"/>
    </row>
    <row r="23" spans="1:46" ht="20.100000000000001" customHeight="1" x14ac:dyDescent="0.4">
      <c r="A23" s="56"/>
      <c r="B23" s="472">
        <v>6</v>
      </c>
      <c r="C23" s="452">
        <v>0.52777777777777779</v>
      </c>
      <c r="D23" s="452">
        <v>0.4375</v>
      </c>
      <c r="E23" s="452"/>
      <c r="F23" s="443"/>
      <c r="G23" s="444"/>
      <c r="H23" s="444"/>
      <c r="I23" s="444"/>
      <c r="J23" s="445" t="str">
        <f t="shared" ref="J23" si="8">IFERROR(VLOOKUP(AR23,$C$5:$N$9,3,0),"")&amp;IFERROR(VLOOKUP(AR23,$Q$5:$AB$9,3,0),"")&amp;IFERROR(VLOOKUP(AR23,$AE$5:$AP$7,3,0),"")</f>
        <v>FCブロケード・陽東U11</v>
      </c>
      <c r="K23" s="446"/>
      <c r="L23" s="446"/>
      <c r="M23" s="446"/>
      <c r="N23" s="446"/>
      <c r="O23" s="446"/>
      <c r="P23" s="446"/>
      <c r="Q23" s="450">
        <f>IF(OR(S23="",S24=""),"",S23+S24)</f>
        <v>0</v>
      </c>
      <c r="R23" s="450"/>
      <c r="S23" s="220">
        <v>0</v>
      </c>
      <c r="T23" s="221" t="s">
        <v>30</v>
      </c>
      <c r="U23" s="220">
        <v>0</v>
      </c>
      <c r="V23" s="450">
        <f>IF(OR(U23="",U24=""),"",U23+U24)</f>
        <v>3</v>
      </c>
      <c r="W23" s="450"/>
      <c r="X23" s="447" t="str">
        <f t="shared" ref="X23" si="9">IFERROR(VLOOKUP(AS23,$C$5:$N$9,3,0),"")&amp;IFERROR(VLOOKUP(AS23,$Q$5:$AB$9,3,0),"")&amp;IFERROR(VLOOKUP(AS23,$AE$5:$AP$7,3,0),"")</f>
        <v>上三川ＳＣ</v>
      </c>
      <c r="Y23" s="448"/>
      <c r="Z23" s="448"/>
      <c r="AA23" s="448"/>
      <c r="AB23" s="448"/>
      <c r="AC23" s="448"/>
      <c r="AD23" s="448"/>
      <c r="AE23" s="443"/>
      <c r="AF23" s="444"/>
      <c r="AG23" s="444"/>
      <c r="AH23" s="444"/>
      <c r="AI23" s="450" t="str">
        <f ca="1">DBCS(INDIRECT("U12対戦スケジュール!e"&amp;(ROW()-1)/2+2))</f>
        <v>Ａ６／Ａ７／Ａ７／Ａ６</v>
      </c>
      <c r="AJ23" s="444"/>
      <c r="AK23" s="444"/>
      <c r="AL23" s="444"/>
      <c r="AM23" s="444"/>
      <c r="AN23" s="444"/>
      <c r="AO23" s="444"/>
      <c r="AP23" s="444"/>
      <c r="AQ23" s="56"/>
      <c r="AR23" s="56" t="s">
        <v>535</v>
      </c>
      <c r="AS23" s="56" t="s">
        <v>537</v>
      </c>
      <c r="AT23" s="195"/>
    </row>
    <row r="24" spans="1:46" ht="20.100000000000001" customHeight="1" x14ac:dyDescent="0.4">
      <c r="A24" s="56"/>
      <c r="B24" s="472"/>
      <c r="C24" s="452"/>
      <c r="D24" s="452"/>
      <c r="E24" s="452"/>
      <c r="F24" s="444"/>
      <c r="G24" s="444"/>
      <c r="H24" s="444"/>
      <c r="I24" s="444"/>
      <c r="J24" s="446"/>
      <c r="K24" s="446"/>
      <c r="L24" s="446"/>
      <c r="M24" s="446"/>
      <c r="N24" s="446"/>
      <c r="O24" s="446"/>
      <c r="P24" s="446"/>
      <c r="Q24" s="450"/>
      <c r="R24" s="450"/>
      <c r="S24" s="220">
        <v>0</v>
      </c>
      <c r="T24" s="221" t="s">
        <v>30</v>
      </c>
      <c r="U24" s="220">
        <v>3</v>
      </c>
      <c r="V24" s="450"/>
      <c r="W24" s="450"/>
      <c r="X24" s="448"/>
      <c r="Y24" s="448"/>
      <c r="Z24" s="448"/>
      <c r="AA24" s="448"/>
      <c r="AB24" s="448"/>
      <c r="AC24" s="448"/>
      <c r="AD24" s="448"/>
      <c r="AE24" s="444"/>
      <c r="AF24" s="444"/>
      <c r="AG24" s="444"/>
      <c r="AH24" s="444"/>
      <c r="AI24" s="444"/>
      <c r="AJ24" s="444"/>
      <c r="AK24" s="444"/>
      <c r="AL24" s="444"/>
      <c r="AM24" s="444"/>
      <c r="AN24" s="444"/>
      <c r="AO24" s="444"/>
      <c r="AP24" s="444"/>
      <c r="AQ24" s="56"/>
      <c r="AR24" s="56"/>
      <c r="AS24" s="56"/>
      <c r="AT24" s="195"/>
    </row>
    <row r="25" spans="1:46" ht="20.100000000000001" hidden="1" customHeight="1" x14ac:dyDescent="0.4">
      <c r="A25" s="56"/>
      <c r="B25" s="472">
        <v>7</v>
      </c>
      <c r="C25" s="452">
        <v>0.5625</v>
      </c>
      <c r="D25" s="452">
        <v>0.4375</v>
      </c>
      <c r="E25" s="452"/>
      <c r="F25" s="443"/>
      <c r="G25" s="444"/>
      <c r="H25" s="444"/>
      <c r="I25" s="444"/>
      <c r="J25" s="445"/>
      <c r="K25" s="446"/>
      <c r="L25" s="446"/>
      <c r="M25" s="446"/>
      <c r="N25" s="446"/>
      <c r="O25" s="446"/>
      <c r="P25" s="446"/>
      <c r="Q25" s="450" t="str">
        <f>IF(OR(S25="",S26=""),"",S25+S26)</f>
        <v/>
      </c>
      <c r="R25" s="450"/>
      <c r="S25" s="220"/>
      <c r="T25" s="221" t="s">
        <v>30</v>
      </c>
      <c r="U25" s="220"/>
      <c r="V25" s="450" t="str">
        <f>IF(OR(U25="",U26=""),"",U25+U26)</f>
        <v/>
      </c>
      <c r="W25" s="450"/>
      <c r="X25" s="447"/>
      <c r="Y25" s="448"/>
      <c r="Z25" s="448"/>
      <c r="AA25" s="448"/>
      <c r="AB25" s="448"/>
      <c r="AC25" s="448"/>
      <c r="AD25" s="448"/>
      <c r="AE25" s="443"/>
      <c r="AF25" s="444"/>
      <c r="AG25" s="444"/>
      <c r="AH25" s="444"/>
      <c r="AI25" s="450" t="str">
        <f ca="1">DBCS(INDIRECT("U12対戦スケジュール!e"&amp;(ROW()-1)/2+2))</f>
        <v/>
      </c>
      <c r="AJ25" s="444"/>
      <c r="AK25" s="444"/>
      <c r="AL25" s="444"/>
      <c r="AM25" s="444"/>
      <c r="AN25" s="444"/>
      <c r="AO25" s="444"/>
      <c r="AP25" s="444"/>
      <c r="AQ25" s="56"/>
      <c r="AR25" s="56"/>
      <c r="AS25" s="56"/>
    </row>
    <row r="26" spans="1:46" ht="20.100000000000001" hidden="1" customHeight="1" x14ac:dyDescent="0.4">
      <c r="A26" s="56"/>
      <c r="B26" s="472"/>
      <c r="C26" s="452"/>
      <c r="D26" s="452"/>
      <c r="E26" s="452"/>
      <c r="F26" s="444"/>
      <c r="G26" s="444"/>
      <c r="H26" s="444"/>
      <c r="I26" s="444"/>
      <c r="J26" s="446"/>
      <c r="K26" s="446"/>
      <c r="L26" s="446"/>
      <c r="M26" s="446"/>
      <c r="N26" s="446"/>
      <c r="O26" s="446"/>
      <c r="P26" s="446"/>
      <c r="Q26" s="450"/>
      <c r="R26" s="450"/>
      <c r="S26" s="220"/>
      <c r="T26" s="221" t="s">
        <v>30</v>
      </c>
      <c r="U26" s="220"/>
      <c r="V26" s="450"/>
      <c r="W26" s="450"/>
      <c r="X26" s="448"/>
      <c r="Y26" s="448"/>
      <c r="Z26" s="448"/>
      <c r="AA26" s="448"/>
      <c r="AB26" s="448"/>
      <c r="AC26" s="448"/>
      <c r="AD26" s="448"/>
      <c r="AE26" s="444"/>
      <c r="AF26" s="444"/>
      <c r="AG26" s="444"/>
      <c r="AH26" s="444"/>
      <c r="AI26" s="444"/>
      <c r="AJ26" s="444"/>
      <c r="AK26" s="444"/>
      <c r="AL26" s="444"/>
      <c r="AM26" s="444"/>
      <c r="AN26" s="444"/>
      <c r="AO26" s="444"/>
      <c r="AP26" s="444"/>
      <c r="AQ26" s="56"/>
      <c r="AR26" s="56"/>
      <c r="AS26" s="56"/>
    </row>
    <row r="27" spans="1:46" ht="15.75" customHeight="1" x14ac:dyDescent="0.4">
      <c r="A27" s="58"/>
      <c r="B27" s="59"/>
      <c r="C27" s="60"/>
      <c r="D27" s="60"/>
      <c r="E27" s="60"/>
      <c r="F27" s="59"/>
      <c r="G27" s="59"/>
      <c r="H27" s="59"/>
      <c r="I27" s="59"/>
      <c r="J27" s="59"/>
      <c r="K27" s="61"/>
      <c r="L27" s="61"/>
      <c r="M27" s="62"/>
      <c r="N27" s="63"/>
      <c r="O27" s="62"/>
      <c r="P27" s="61"/>
      <c r="Q27" s="61"/>
      <c r="R27" s="59"/>
      <c r="S27" s="59"/>
      <c r="T27" s="59"/>
      <c r="U27" s="59"/>
      <c r="V27" s="59"/>
      <c r="W27" s="66"/>
      <c r="X27" s="66"/>
      <c r="Y27" s="66"/>
      <c r="Z27" s="66"/>
      <c r="AA27" s="66"/>
      <c r="AB27" s="66"/>
      <c r="AC27" s="58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</row>
    <row r="28" spans="1:46" ht="20.25" customHeight="1" x14ac:dyDescent="0.4">
      <c r="A28" s="56"/>
      <c r="B28" s="56"/>
      <c r="C28" s="56"/>
      <c r="D28" s="477" t="s">
        <v>31</v>
      </c>
      <c r="E28" s="477"/>
      <c r="F28" s="477"/>
      <c r="G28" s="477"/>
      <c r="H28" s="477"/>
      <c r="I28" s="477"/>
      <c r="J28" s="477" t="s">
        <v>27</v>
      </c>
      <c r="K28" s="477"/>
      <c r="L28" s="477"/>
      <c r="M28" s="477"/>
      <c r="N28" s="477"/>
      <c r="O28" s="477"/>
      <c r="P28" s="477"/>
      <c r="Q28" s="477"/>
      <c r="R28" s="478" t="s">
        <v>32</v>
      </c>
      <c r="S28" s="478"/>
      <c r="T28" s="478"/>
      <c r="U28" s="478"/>
      <c r="V28" s="478"/>
      <c r="W28" s="478"/>
      <c r="X28" s="478"/>
      <c r="Y28" s="478"/>
      <c r="Z28" s="478"/>
      <c r="AA28" s="479" t="s">
        <v>33</v>
      </c>
      <c r="AB28" s="479"/>
      <c r="AC28" s="479"/>
      <c r="AD28" s="479" t="s">
        <v>34</v>
      </c>
      <c r="AE28" s="479"/>
      <c r="AF28" s="479"/>
      <c r="AG28" s="479"/>
      <c r="AH28" s="479"/>
      <c r="AI28" s="479"/>
      <c r="AJ28" s="479"/>
      <c r="AK28" s="479"/>
      <c r="AL28" s="479"/>
      <c r="AM28" s="479"/>
      <c r="AN28" s="56"/>
      <c r="AO28" s="56"/>
      <c r="AP28" s="56"/>
      <c r="AQ28" s="56"/>
      <c r="AR28" s="56"/>
      <c r="AS28" s="56"/>
    </row>
    <row r="29" spans="1:46" ht="30" customHeight="1" x14ac:dyDescent="0.4">
      <c r="A29" s="56"/>
      <c r="B29" s="56"/>
      <c r="C29" s="56"/>
      <c r="D29" s="477" t="s">
        <v>35</v>
      </c>
      <c r="E29" s="477"/>
      <c r="F29" s="477"/>
      <c r="G29" s="477"/>
      <c r="H29" s="477"/>
      <c r="I29" s="477"/>
      <c r="J29" s="477"/>
      <c r="K29" s="477"/>
      <c r="L29" s="477"/>
      <c r="M29" s="477"/>
      <c r="N29" s="477"/>
      <c r="O29" s="477"/>
      <c r="P29" s="477"/>
      <c r="Q29" s="477"/>
      <c r="R29" s="478"/>
      <c r="S29" s="478"/>
      <c r="T29" s="478"/>
      <c r="U29" s="478"/>
      <c r="V29" s="478"/>
      <c r="W29" s="478"/>
      <c r="X29" s="478"/>
      <c r="Y29" s="478"/>
      <c r="Z29" s="478"/>
      <c r="AA29" s="481"/>
      <c r="AB29" s="481"/>
      <c r="AC29" s="481"/>
      <c r="AD29" s="480"/>
      <c r="AE29" s="480"/>
      <c r="AF29" s="480"/>
      <c r="AG29" s="480"/>
      <c r="AH29" s="480"/>
      <c r="AI29" s="480"/>
      <c r="AJ29" s="480"/>
      <c r="AK29" s="480"/>
      <c r="AL29" s="480"/>
      <c r="AM29" s="480"/>
      <c r="AN29" s="56"/>
      <c r="AO29" s="56"/>
      <c r="AP29" s="56"/>
      <c r="AQ29" s="56"/>
      <c r="AR29" s="56"/>
      <c r="AS29" s="56"/>
    </row>
    <row r="30" spans="1:46" ht="30" customHeight="1" x14ac:dyDescent="0.4">
      <c r="A30" s="56"/>
      <c r="B30" s="56"/>
      <c r="C30" s="56"/>
      <c r="D30" s="477" t="s">
        <v>35</v>
      </c>
      <c r="E30" s="477"/>
      <c r="F30" s="477"/>
      <c r="G30" s="477"/>
      <c r="H30" s="477"/>
      <c r="I30" s="477"/>
      <c r="J30" s="477"/>
      <c r="K30" s="477"/>
      <c r="L30" s="477"/>
      <c r="M30" s="477"/>
      <c r="N30" s="477"/>
      <c r="O30" s="477"/>
      <c r="P30" s="477"/>
      <c r="Q30" s="477"/>
      <c r="R30" s="478"/>
      <c r="S30" s="478"/>
      <c r="T30" s="478"/>
      <c r="U30" s="478"/>
      <c r="V30" s="478"/>
      <c r="W30" s="478"/>
      <c r="X30" s="478"/>
      <c r="Y30" s="478"/>
      <c r="Z30" s="478"/>
      <c r="AA30" s="479"/>
      <c r="AB30" s="479"/>
      <c r="AC30" s="479"/>
      <c r="AD30" s="480"/>
      <c r="AE30" s="480"/>
      <c r="AF30" s="480"/>
      <c r="AG30" s="480"/>
      <c r="AH30" s="480"/>
      <c r="AI30" s="480"/>
      <c r="AJ30" s="480"/>
      <c r="AK30" s="480"/>
      <c r="AL30" s="480"/>
      <c r="AM30" s="480"/>
      <c r="AN30" s="56"/>
      <c r="AO30" s="56"/>
      <c r="AP30" s="56"/>
      <c r="AQ30" s="56"/>
      <c r="AR30" s="56"/>
      <c r="AS30" s="56"/>
    </row>
    <row r="31" spans="1:46" ht="30" customHeight="1" x14ac:dyDescent="0.4">
      <c r="A31" s="56"/>
      <c r="B31" s="56"/>
      <c r="C31" s="56"/>
      <c r="D31" s="477" t="s">
        <v>35</v>
      </c>
      <c r="E31" s="477"/>
      <c r="F31" s="477"/>
      <c r="G31" s="477"/>
      <c r="H31" s="477"/>
      <c r="I31" s="477"/>
      <c r="J31" s="477"/>
      <c r="K31" s="477"/>
      <c r="L31" s="477"/>
      <c r="M31" s="477"/>
      <c r="N31" s="477"/>
      <c r="O31" s="477"/>
      <c r="P31" s="477"/>
      <c r="Q31" s="477"/>
      <c r="R31" s="478"/>
      <c r="S31" s="478"/>
      <c r="T31" s="478"/>
      <c r="U31" s="478"/>
      <c r="V31" s="478"/>
      <c r="W31" s="478"/>
      <c r="X31" s="478"/>
      <c r="Y31" s="478"/>
      <c r="Z31" s="478"/>
      <c r="AA31" s="479"/>
      <c r="AB31" s="479"/>
      <c r="AC31" s="479"/>
      <c r="AD31" s="480"/>
      <c r="AE31" s="480"/>
      <c r="AF31" s="480"/>
      <c r="AG31" s="480"/>
      <c r="AH31" s="480"/>
      <c r="AI31" s="480"/>
      <c r="AJ31" s="480"/>
      <c r="AK31" s="480"/>
      <c r="AL31" s="480"/>
      <c r="AM31" s="480"/>
      <c r="AN31" s="56"/>
      <c r="AO31" s="56"/>
      <c r="AP31" s="56"/>
      <c r="AQ31" s="56"/>
      <c r="AR31" s="56"/>
      <c r="AS31" s="56"/>
    </row>
    <row r="32" spans="1:46" ht="14.25" customHeight="1" x14ac:dyDescent="0.4">
      <c r="A32" s="451" t="s">
        <v>549</v>
      </c>
      <c r="B32" s="451"/>
      <c r="C32" s="451"/>
      <c r="D32" s="451"/>
      <c r="E32" s="451"/>
      <c r="F32" s="451"/>
      <c r="G32" s="451"/>
      <c r="H32" s="451"/>
      <c r="I32" s="451"/>
      <c r="J32" s="451"/>
      <c r="K32" s="451"/>
      <c r="L32" s="451"/>
      <c r="M32" s="451"/>
      <c r="N32" s="451"/>
      <c r="O32" s="451"/>
      <c r="P32" s="451"/>
      <c r="Q32" s="451"/>
      <c r="R32" s="451"/>
      <c r="S32" s="451"/>
      <c r="T32" s="451"/>
      <c r="U32" s="451"/>
      <c r="V32" s="451"/>
      <c r="W32" s="451"/>
      <c r="X32" s="451"/>
      <c r="Y32" s="451"/>
      <c r="Z32" s="451"/>
      <c r="AA32" s="451"/>
      <c r="AB32" s="451"/>
      <c r="AC32" s="451"/>
      <c r="AD32" s="451"/>
      <c r="AE32" s="451"/>
      <c r="AF32" s="451"/>
      <c r="AG32" s="451"/>
      <c r="AH32" s="451"/>
      <c r="AI32" s="451"/>
      <c r="AJ32" s="451"/>
      <c r="AK32" s="451"/>
      <c r="AL32" s="451"/>
      <c r="AM32" s="451"/>
      <c r="AN32" s="451"/>
      <c r="AO32" s="451"/>
      <c r="AP32" s="451"/>
      <c r="AQ32" s="451"/>
      <c r="AR32" s="56"/>
      <c r="AS32" s="56"/>
    </row>
    <row r="33" spans="1:45" ht="14.25" customHeight="1" x14ac:dyDescent="0.4">
      <c r="A33" s="451"/>
      <c r="B33" s="451"/>
      <c r="C33" s="451"/>
      <c r="D33" s="451"/>
      <c r="E33" s="451"/>
      <c r="F33" s="451"/>
      <c r="G33" s="451"/>
      <c r="H33" s="451"/>
      <c r="I33" s="451"/>
      <c r="J33" s="451"/>
      <c r="K33" s="451"/>
      <c r="L33" s="451"/>
      <c r="M33" s="451"/>
      <c r="N33" s="451"/>
      <c r="O33" s="451"/>
      <c r="P33" s="451"/>
      <c r="Q33" s="451"/>
      <c r="R33" s="451"/>
      <c r="S33" s="451"/>
      <c r="T33" s="451"/>
      <c r="U33" s="451"/>
      <c r="V33" s="451"/>
      <c r="W33" s="451"/>
      <c r="X33" s="451"/>
      <c r="Y33" s="451"/>
      <c r="Z33" s="451"/>
      <c r="AA33" s="451"/>
      <c r="AB33" s="451"/>
      <c r="AC33" s="451"/>
      <c r="AD33" s="451"/>
      <c r="AE33" s="451"/>
      <c r="AF33" s="451"/>
      <c r="AG33" s="451"/>
      <c r="AH33" s="451"/>
      <c r="AI33" s="451"/>
      <c r="AJ33" s="451"/>
      <c r="AK33" s="451"/>
      <c r="AL33" s="451"/>
      <c r="AM33" s="451"/>
      <c r="AN33" s="451"/>
      <c r="AO33" s="451"/>
      <c r="AP33" s="451"/>
      <c r="AQ33" s="451"/>
      <c r="AR33" s="56"/>
      <c r="AS33" s="56"/>
    </row>
    <row r="34" spans="1:45" ht="27.75" customHeight="1" x14ac:dyDescent="0.4">
      <c r="A34" s="56"/>
      <c r="B34" s="56"/>
      <c r="C34" s="460" t="s">
        <v>8</v>
      </c>
      <c r="D34" s="460"/>
      <c r="E34" s="460"/>
      <c r="F34" s="460"/>
      <c r="G34" s="461" t="str">
        <f>U12対戦スケジュール!D28</f>
        <v>グリーンパーク白沢 Ｂ</v>
      </c>
      <c r="H34" s="509"/>
      <c r="I34" s="509"/>
      <c r="J34" s="509"/>
      <c r="K34" s="509"/>
      <c r="L34" s="509"/>
      <c r="M34" s="509"/>
      <c r="N34" s="509"/>
      <c r="O34" s="509"/>
      <c r="P34" s="460" t="s">
        <v>0</v>
      </c>
      <c r="Q34" s="460"/>
      <c r="R34" s="460"/>
      <c r="S34" s="460"/>
      <c r="T34" s="482" t="str">
        <f>U12対戦スケジュール!D29</f>
        <v>ｕｎｉｏｎｓｃU12</v>
      </c>
      <c r="U34" s="460"/>
      <c r="V34" s="460"/>
      <c r="W34" s="460"/>
      <c r="X34" s="460"/>
      <c r="Y34" s="460"/>
      <c r="Z34" s="460"/>
      <c r="AA34" s="460"/>
      <c r="AB34" s="460"/>
      <c r="AC34" s="460" t="s">
        <v>9</v>
      </c>
      <c r="AD34" s="460"/>
      <c r="AE34" s="460"/>
      <c r="AF34" s="460"/>
      <c r="AG34" s="484">
        <f>U12組合せ!$B32</f>
        <v>43737</v>
      </c>
      <c r="AH34" s="485"/>
      <c r="AI34" s="485"/>
      <c r="AJ34" s="485"/>
      <c r="AK34" s="485"/>
      <c r="AL34" s="485"/>
      <c r="AM34" s="488" t="str">
        <f>"（"&amp;TEXT(AG34,"aaa")&amp;"）"</f>
        <v>（日）</v>
      </c>
      <c r="AN34" s="488"/>
      <c r="AO34" s="489"/>
      <c r="AP34" s="56"/>
      <c r="AQ34" s="56"/>
      <c r="AR34" s="56"/>
      <c r="AS34" s="56"/>
    </row>
    <row r="35" spans="1:45" ht="15" customHeight="1" x14ac:dyDescent="0.4">
      <c r="A35" s="56"/>
      <c r="B35" s="56"/>
      <c r="C35" s="56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64"/>
      <c r="X35" s="64"/>
      <c r="Y35" s="64"/>
      <c r="Z35" s="64"/>
      <c r="AA35" s="64"/>
      <c r="AB35" s="64"/>
      <c r="AC35" s="64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</row>
    <row r="36" spans="1:45" ht="18" customHeight="1" x14ac:dyDescent="0.4">
      <c r="A36" s="56"/>
      <c r="B36" s="56"/>
      <c r="C36" s="475" t="s">
        <v>10</v>
      </c>
      <c r="D36" s="475"/>
      <c r="E36" s="476" t="str">
        <f>U12組合せ!$D14</f>
        <v>岡西ＦＣ</v>
      </c>
      <c r="F36" s="476"/>
      <c r="G36" s="476"/>
      <c r="H36" s="476"/>
      <c r="I36" s="476"/>
      <c r="J36" s="476"/>
      <c r="K36" s="476"/>
      <c r="L36" s="476"/>
      <c r="M36" s="476"/>
      <c r="N36" s="476"/>
      <c r="O36" s="58"/>
      <c r="P36" s="58"/>
      <c r="Q36" s="475" t="s">
        <v>11</v>
      </c>
      <c r="R36" s="475"/>
      <c r="S36" s="476" t="str">
        <f>U12組合せ!$D19</f>
        <v>宝木キッカーズ</v>
      </c>
      <c r="T36" s="476"/>
      <c r="U36" s="476"/>
      <c r="V36" s="476"/>
      <c r="W36" s="476"/>
      <c r="X36" s="476"/>
      <c r="Y36" s="476"/>
      <c r="Z36" s="476"/>
      <c r="AA36" s="476"/>
      <c r="AB36" s="476"/>
      <c r="AC36" s="68"/>
      <c r="AD36" s="55"/>
      <c r="AE36" s="518" t="s">
        <v>12</v>
      </c>
      <c r="AF36" s="518"/>
      <c r="AG36" s="513" t="str">
        <f>U12組合せ!F16</f>
        <v>昭和・戸祭ＳＣ-O</v>
      </c>
      <c r="AH36" s="513"/>
      <c r="AI36" s="513"/>
      <c r="AJ36" s="513"/>
      <c r="AK36" s="513"/>
      <c r="AL36" s="513"/>
      <c r="AM36" s="513"/>
      <c r="AN36" s="513"/>
      <c r="AO36" s="513"/>
      <c r="AP36" s="513"/>
      <c r="AQ36" s="56"/>
      <c r="AR36" s="56"/>
      <c r="AS36" s="56"/>
    </row>
    <row r="37" spans="1:45" ht="18" customHeight="1" x14ac:dyDescent="0.4">
      <c r="A37" s="56"/>
      <c r="B37" s="56"/>
      <c r="C37" s="475" t="s">
        <v>13</v>
      </c>
      <c r="D37" s="475"/>
      <c r="E37" s="476" t="str">
        <f>U12組合せ!$D15</f>
        <v>国本ＪＳＣ</v>
      </c>
      <c r="F37" s="476"/>
      <c r="G37" s="476"/>
      <c r="H37" s="476"/>
      <c r="I37" s="476"/>
      <c r="J37" s="476"/>
      <c r="K37" s="476"/>
      <c r="L37" s="476"/>
      <c r="M37" s="476"/>
      <c r="N37" s="476"/>
      <c r="O37" s="58"/>
      <c r="P37" s="58"/>
      <c r="Q37" s="475" t="s">
        <v>14</v>
      </c>
      <c r="R37" s="475"/>
      <c r="S37" s="476" t="str">
        <f>U12組合せ!$D20</f>
        <v>サウス宇都宮ＳＣ</v>
      </c>
      <c r="T37" s="476"/>
      <c r="U37" s="476"/>
      <c r="V37" s="476"/>
      <c r="W37" s="476"/>
      <c r="X37" s="476"/>
      <c r="Y37" s="476"/>
      <c r="Z37" s="476"/>
      <c r="AA37" s="476"/>
      <c r="AB37" s="476"/>
      <c r="AC37" s="68"/>
      <c r="AD37" s="55"/>
      <c r="AE37" s="518" t="s">
        <v>17</v>
      </c>
      <c r="AF37" s="518"/>
      <c r="AG37" s="511" t="str">
        <f>U12組合せ!F19</f>
        <v>雀宮ＦＣセカンド</v>
      </c>
      <c r="AH37" s="513"/>
      <c r="AI37" s="513"/>
      <c r="AJ37" s="513"/>
      <c r="AK37" s="513"/>
      <c r="AL37" s="513"/>
      <c r="AM37" s="513"/>
      <c r="AN37" s="513"/>
      <c r="AO37" s="513"/>
      <c r="AP37" s="513"/>
      <c r="AQ37" s="56"/>
      <c r="AR37" s="56"/>
      <c r="AS37" s="56"/>
    </row>
    <row r="38" spans="1:45" ht="18" customHeight="1" x14ac:dyDescent="0.4">
      <c r="A38" s="56"/>
      <c r="B38" s="56"/>
      <c r="C38" s="475" t="s">
        <v>15</v>
      </c>
      <c r="D38" s="475"/>
      <c r="E38" s="476" t="str">
        <f>U12組合せ!$D16</f>
        <v>カテット白沢U11</v>
      </c>
      <c r="F38" s="476"/>
      <c r="G38" s="476"/>
      <c r="H38" s="476"/>
      <c r="I38" s="476"/>
      <c r="J38" s="476"/>
      <c r="K38" s="476"/>
      <c r="L38" s="476"/>
      <c r="M38" s="476"/>
      <c r="N38" s="476"/>
      <c r="O38" s="58"/>
      <c r="P38" s="58"/>
      <c r="Q38" s="475" t="s">
        <v>16</v>
      </c>
      <c r="R38" s="475"/>
      <c r="S38" s="476" t="str">
        <f>U12組合せ!$D21</f>
        <v>ブラッドレスＳＳ</v>
      </c>
      <c r="T38" s="476"/>
      <c r="U38" s="476"/>
      <c r="V38" s="476"/>
      <c r="W38" s="476"/>
      <c r="X38" s="476"/>
      <c r="Y38" s="476"/>
      <c r="Z38" s="476"/>
      <c r="AA38" s="476"/>
      <c r="AB38" s="476"/>
      <c r="AC38" s="68"/>
      <c r="AD38" s="55"/>
      <c r="AE38" s="518" t="s">
        <v>537</v>
      </c>
      <c r="AF38" s="518"/>
      <c r="AG38" s="511" t="str">
        <f>U12組合せ!F22</f>
        <v>上三川ＳＣ</v>
      </c>
      <c r="AH38" s="513"/>
      <c r="AI38" s="513"/>
      <c r="AJ38" s="513"/>
      <c r="AK38" s="513"/>
      <c r="AL38" s="513"/>
      <c r="AM38" s="513"/>
      <c r="AN38" s="513"/>
      <c r="AO38" s="513"/>
      <c r="AP38" s="513"/>
      <c r="AQ38" s="56"/>
      <c r="AR38" s="56"/>
      <c r="AS38" s="56"/>
    </row>
    <row r="39" spans="1:45" ht="18" customHeight="1" x14ac:dyDescent="0.4">
      <c r="A39" s="56"/>
      <c r="B39" s="57"/>
      <c r="C39" s="475" t="s">
        <v>18</v>
      </c>
      <c r="D39" s="475"/>
      <c r="E39" s="476" t="str">
        <f>U12組合せ!$D17</f>
        <v>ＦＣアリーバ</v>
      </c>
      <c r="F39" s="476"/>
      <c r="G39" s="476"/>
      <c r="H39" s="476"/>
      <c r="I39" s="476"/>
      <c r="J39" s="476"/>
      <c r="K39" s="476"/>
      <c r="L39" s="476"/>
      <c r="M39" s="476"/>
      <c r="N39" s="476"/>
      <c r="O39" s="58"/>
      <c r="P39" s="58"/>
      <c r="Q39" s="475" t="s">
        <v>19</v>
      </c>
      <c r="R39" s="475"/>
      <c r="S39" s="476" t="str">
        <f>U12組合せ!$D22</f>
        <v>泉ＦＣ宇都宮</v>
      </c>
      <c r="T39" s="476"/>
      <c r="U39" s="476"/>
      <c r="V39" s="476"/>
      <c r="W39" s="476"/>
      <c r="X39" s="476"/>
      <c r="Y39" s="476"/>
      <c r="Z39" s="476"/>
      <c r="AA39" s="476"/>
      <c r="AB39" s="476"/>
      <c r="AC39" s="68"/>
      <c r="AD39" s="58"/>
      <c r="AE39" s="475"/>
      <c r="AF39" s="475"/>
      <c r="AG39" s="511"/>
      <c r="AH39" s="476"/>
      <c r="AI39" s="476"/>
      <c r="AJ39" s="476"/>
      <c r="AK39" s="476"/>
      <c r="AL39" s="476"/>
      <c r="AM39" s="476"/>
      <c r="AN39" s="476"/>
      <c r="AO39" s="476"/>
      <c r="AP39" s="476"/>
      <c r="AQ39" s="57"/>
      <c r="AR39" s="56"/>
      <c r="AS39" s="56"/>
    </row>
    <row r="40" spans="1:45" ht="18" customHeight="1" x14ac:dyDescent="0.4">
      <c r="A40" s="56"/>
      <c r="B40" s="56"/>
      <c r="C40" s="475" t="s">
        <v>21</v>
      </c>
      <c r="D40" s="475"/>
      <c r="E40" s="476" t="str">
        <f>U12組合せ!$D18</f>
        <v>ｕｎｉｏｎｓｃU12</v>
      </c>
      <c r="F40" s="476"/>
      <c r="G40" s="476"/>
      <c r="H40" s="476"/>
      <c r="I40" s="476"/>
      <c r="J40" s="476"/>
      <c r="K40" s="476"/>
      <c r="L40" s="476"/>
      <c r="M40" s="476"/>
      <c r="N40" s="476"/>
      <c r="O40" s="58"/>
      <c r="P40" s="58"/>
      <c r="Q40" s="475" t="s">
        <v>22</v>
      </c>
      <c r="R40" s="475"/>
      <c r="S40" s="476" t="str">
        <f>U12組合せ!$D23</f>
        <v>昭和・戸祭ＳＣ-S</v>
      </c>
      <c r="T40" s="476"/>
      <c r="U40" s="476"/>
      <c r="V40" s="476"/>
      <c r="W40" s="476"/>
      <c r="X40" s="476"/>
      <c r="Y40" s="476"/>
      <c r="Z40" s="476"/>
      <c r="AA40" s="476"/>
      <c r="AB40" s="476"/>
      <c r="AC40" s="68"/>
      <c r="AD40" s="55"/>
      <c r="AE40" s="475"/>
      <c r="AF40" s="475"/>
      <c r="AG40" s="511"/>
      <c r="AH40" s="476"/>
      <c r="AI40" s="476"/>
      <c r="AJ40" s="476"/>
      <c r="AK40" s="476"/>
      <c r="AL40" s="476"/>
      <c r="AM40" s="476"/>
      <c r="AN40" s="476"/>
      <c r="AO40" s="476"/>
      <c r="AP40" s="476"/>
      <c r="AQ40" s="56"/>
      <c r="AR40" s="56"/>
      <c r="AS40" s="56"/>
    </row>
    <row r="41" spans="1:45" ht="15" customHeight="1" x14ac:dyDescent="0.4">
      <c r="A41" s="56"/>
      <c r="B41" s="56"/>
      <c r="C41" s="103"/>
      <c r="D41" s="104"/>
      <c r="E41" s="104"/>
      <c r="F41" s="104"/>
      <c r="G41" s="104"/>
      <c r="H41" s="104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104"/>
      <c r="U41" s="57"/>
      <c r="V41" s="104"/>
      <c r="W41" s="57"/>
      <c r="X41" s="104"/>
      <c r="Y41" s="57"/>
      <c r="Z41" s="104"/>
      <c r="AA41" s="57"/>
      <c r="AB41" s="104"/>
      <c r="AC41" s="104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</row>
    <row r="42" spans="1:45" ht="21" customHeight="1" x14ac:dyDescent="0.4">
      <c r="A42" s="56"/>
      <c r="B42" s="56" t="s">
        <v>568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</row>
    <row r="43" spans="1:45" ht="20.25" customHeight="1" x14ac:dyDescent="0.4">
      <c r="A43" s="56"/>
      <c r="B43" s="219"/>
      <c r="C43" s="456" t="s">
        <v>25</v>
      </c>
      <c r="D43" s="456"/>
      <c r="E43" s="456"/>
      <c r="F43" s="458" t="s">
        <v>26</v>
      </c>
      <c r="G43" s="459"/>
      <c r="H43" s="459"/>
      <c r="I43" s="459"/>
      <c r="J43" s="456" t="s">
        <v>27</v>
      </c>
      <c r="K43" s="457"/>
      <c r="L43" s="457"/>
      <c r="M43" s="457"/>
      <c r="N43" s="457"/>
      <c r="O43" s="457"/>
      <c r="P43" s="457"/>
      <c r="Q43" s="456" t="s">
        <v>540</v>
      </c>
      <c r="R43" s="456"/>
      <c r="S43" s="456"/>
      <c r="T43" s="456"/>
      <c r="U43" s="456"/>
      <c r="V43" s="456"/>
      <c r="W43" s="456"/>
      <c r="X43" s="456" t="s">
        <v>27</v>
      </c>
      <c r="Y43" s="457"/>
      <c r="Z43" s="457"/>
      <c r="AA43" s="457"/>
      <c r="AB43" s="457"/>
      <c r="AC43" s="457"/>
      <c r="AD43" s="457"/>
      <c r="AE43" s="458" t="s">
        <v>26</v>
      </c>
      <c r="AF43" s="459"/>
      <c r="AG43" s="459"/>
      <c r="AH43" s="459"/>
      <c r="AI43" s="456" t="s">
        <v>29</v>
      </c>
      <c r="AJ43" s="456"/>
      <c r="AK43" s="457"/>
      <c r="AL43" s="457"/>
      <c r="AM43" s="457"/>
      <c r="AN43" s="457"/>
      <c r="AO43" s="457"/>
      <c r="AP43" s="457"/>
      <c r="AQ43" s="56"/>
      <c r="AR43" s="56"/>
      <c r="AS43" s="56"/>
    </row>
    <row r="44" spans="1:45" ht="20.100000000000001" customHeight="1" x14ac:dyDescent="0.4">
      <c r="A44" s="56"/>
      <c r="B44" s="472">
        <v>1</v>
      </c>
      <c r="C44" s="452">
        <v>0.35416666666666669</v>
      </c>
      <c r="D44" s="452"/>
      <c r="E44" s="452"/>
      <c r="F44" s="443"/>
      <c r="G44" s="444"/>
      <c r="H44" s="444"/>
      <c r="I44" s="444"/>
      <c r="J44" s="445" t="str">
        <f>IFERROR(VLOOKUP(AR44,$C$36:$N$40,3,0),"")&amp;IFERROR(VLOOKUP(AR44,$Q$36:$AB$40,3,0),"")&amp;IFERROR(VLOOKUP(AR44,$AE$36:$AP$38,3,0),"")</f>
        <v>ｕｎｉｏｎｓｃU12</v>
      </c>
      <c r="K44" s="446"/>
      <c r="L44" s="446"/>
      <c r="M44" s="446"/>
      <c r="N44" s="446"/>
      <c r="O44" s="446"/>
      <c r="P44" s="446"/>
      <c r="Q44" s="450">
        <f>IF(OR(S44="",S45=""),"",S44+S45)</f>
        <v>3</v>
      </c>
      <c r="R44" s="450"/>
      <c r="S44" s="222">
        <v>3</v>
      </c>
      <c r="T44" s="223" t="s">
        <v>30</v>
      </c>
      <c r="U44" s="222">
        <v>0</v>
      </c>
      <c r="V44" s="450">
        <f>IF(OR(U44="",U45=""),"",U44+U45)</f>
        <v>0</v>
      </c>
      <c r="W44" s="450"/>
      <c r="X44" s="447" t="str">
        <f>IFERROR(VLOOKUP(AS44,$C$36:$N$40,3,0),"")&amp;IFERROR(VLOOKUP(AS44,$Q$36:$AB$40,3,0),"")&amp;IFERROR(VLOOKUP(AS44,$AE$36:$AP$38,3,0),"")</f>
        <v>サウス宇都宮ＳＣ</v>
      </c>
      <c r="Y44" s="448"/>
      <c r="Z44" s="448"/>
      <c r="AA44" s="448"/>
      <c r="AB44" s="448"/>
      <c r="AC44" s="448"/>
      <c r="AD44" s="448"/>
      <c r="AE44" s="443"/>
      <c r="AF44" s="444"/>
      <c r="AG44" s="444"/>
      <c r="AH44" s="444"/>
      <c r="AI44" s="450" t="str">
        <f ca="1">DBCS(INDIRECT("U12対戦スケジュール!e"&amp;(ROW()/2+8)))</f>
        <v>Ｂ９／Ｂ３／Ｂ３／Ｂ９</v>
      </c>
      <c r="AJ44" s="444"/>
      <c r="AK44" s="444"/>
      <c r="AL44" s="444"/>
      <c r="AM44" s="444"/>
      <c r="AN44" s="444"/>
      <c r="AO44" s="444"/>
      <c r="AP44" s="444"/>
      <c r="AQ44" s="56"/>
      <c r="AR44" s="56" t="s">
        <v>21</v>
      </c>
      <c r="AS44" s="56" t="s">
        <v>14</v>
      </c>
    </row>
    <row r="45" spans="1:45" ht="20.100000000000001" customHeight="1" x14ac:dyDescent="0.4">
      <c r="A45" s="56"/>
      <c r="B45" s="472"/>
      <c r="C45" s="452"/>
      <c r="D45" s="452"/>
      <c r="E45" s="452"/>
      <c r="F45" s="444"/>
      <c r="G45" s="444"/>
      <c r="H45" s="444"/>
      <c r="I45" s="444"/>
      <c r="J45" s="446"/>
      <c r="K45" s="446"/>
      <c r="L45" s="446"/>
      <c r="M45" s="446"/>
      <c r="N45" s="446"/>
      <c r="O45" s="446"/>
      <c r="P45" s="446"/>
      <c r="Q45" s="450"/>
      <c r="R45" s="450"/>
      <c r="S45" s="222">
        <v>0</v>
      </c>
      <c r="T45" s="223" t="s">
        <v>30</v>
      </c>
      <c r="U45" s="222">
        <v>0</v>
      </c>
      <c r="V45" s="450"/>
      <c r="W45" s="450"/>
      <c r="X45" s="448"/>
      <c r="Y45" s="448"/>
      <c r="Z45" s="448"/>
      <c r="AA45" s="448"/>
      <c r="AB45" s="448"/>
      <c r="AC45" s="448"/>
      <c r="AD45" s="448"/>
      <c r="AE45" s="444"/>
      <c r="AF45" s="444"/>
      <c r="AG45" s="444"/>
      <c r="AH45" s="444"/>
      <c r="AI45" s="444"/>
      <c r="AJ45" s="444"/>
      <c r="AK45" s="444"/>
      <c r="AL45" s="444"/>
      <c r="AM45" s="444"/>
      <c r="AN45" s="444"/>
      <c r="AO45" s="444"/>
      <c r="AP45" s="444"/>
      <c r="AQ45" s="56"/>
      <c r="AR45" s="56"/>
      <c r="AS45" s="56"/>
    </row>
    <row r="46" spans="1:45" ht="20.100000000000001" customHeight="1" x14ac:dyDescent="0.4">
      <c r="A46" s="56"/>
      <c r="B46" s="472">
        <v>2</v>
      </c>
      <c r="C46" s="452">
        <v>0.3888888888888889</v>
      </c>
      <c r="D46" s="452">
        <v>0.4375</v>
      </c>
      <c r="E46" s="452"/>
      <c r="F46" s="443"/>
      <c r="G46" s="444"/>
      <c r="H46" s="444"/>
      <c r="I46" s="444"/>
      <c r="J46" s="445" t="str">
        <f t="shared" ref="J46" si="10">IFERROR(VLOOKUP(AR46,$C$36:$N$40,3,0),"")&amp;IFERROR(VLOOKUP(AR46,$Q$36:$AB$40,3,0),"")&amp;IFERROR(VLOOKUP(AR46,$AE$36:$AP$38,3,0),"")</f>
        <v>上三川ＳＣ</v>
      </c>
      <c r="K46" s="446"/>
      <c r="L46" s="446"/>
      <c r="M46" s="446"/>
      <c r="N46" s="446"/>
      <c r="O46" s="446"/>
      <c r="P46" s="446"/>
      <c r="Q46" s="450">
        <f>IF(OR(S46="",S47=""),"",S46+S47)</f>
        <v>0</v>
      </c>
      <c r="R46" s="450"/>
      <c r="S46" s="222">
        <v>0</v>
      </c>
      <c r="T46" s="223" t="s">
        <v>30</v>
      </c>
      <c r="U46" s="222">
        <v>1</v>
      </c>
      <c r="V46" s="450">
        <f>IF(OR(U46="",U47=""),"",U46+U47)</f>
        <v>1</v>
      </c>
      <c r="W46" s="450"/>
      <c r="X46" s="447" t="str">
        <f t="shared" ref="X46" si="11">IFERROR(VLOOKUP(AS46,$C$36:$N$40,3,0),"")&amp;IFERROR(VLOOKUP(AS46,$Q$36:$AB$40,3,0),"")&amp;IFERROR(VLOOKUP(AS46,$AE$36:$AP$38,3,0),"")</f>
        <v>昭和・戸祭ＳＣ-O</v>
      </c>
      <c r="Y46" s="448"/>
      <c r="Z46" s="448"/>
      <c r="AA46" s="448"/>
      <c r="AB46" s="448"/>
      <c r="AC46" s="448"/>
      <c r="AD46" s="448"/>
      <c r="AE46" s="443"/>
      <c r="AF46" s="444"/>
      <c r="AG46" s="444"/>
      <c r="AH46" s="444"/>
      <c r="AI46" s="450" t="str">
        <f ca="1">DBCS(INDIRECT("U12対戦スケジュール!e"&amp;(ROW()/2+8)))</f>
        <v>Ａ５／Ａ７／Ａ７／Ａ５</v>
      </c>
      <c r="AJ46" s="444"/>
      <c r="AK46" s="444"/>
      <c r="AL46" s="444"/>
      <c r="AM46" s="444"/>
      <c r="AN46" s="444"/>
      <c r="AO46" s="444"/>
      <c r="AP46" s="444"/>
      <c r="AQ46" s="56"/>
      <c r="AR46" s="56" t="s">
        <v>537</v>
      </c>
      <c r="AS46" s="56" t="s">
        <v>541</v>
      </c>
    </row>
    <row r="47" spans="1:45" ht="20.100000000000001" customHeight="1" x14ac:dyDescent="0.4">
      <c r="A47" s="56"/>
      <c r="B47" s="472"/>
      <c r="C47" s="452"/>
      <c r="D47" s="452"/>
      <c r="E47" s="452"/>
      <c r="F47" s="444"/>
      <c r="G47" s="444"/>
      <c r="H47" s="444"/>
      <c r="I47" s="444"/>
      <c r="J47" s="446"/>
      <c r="K47" s="446"/>
      <c r="L47" s="446"/>
      <c r="M47" s="446"/>
      <c r="N47" s="446"/>
      <c r="O47" s="446"/>
      <c r="P47" s="446"/>
      <c r="Q47" s="450"/>
      <c r="R47" s="450"/>
      <c r="S47" s="222">
        <v>0</v>
      </c>
      <c r="T47" s="223" t="s">
        <v>30</v>
      </c>
      <c r="U47" s="222">
        <v>0</v>
      </c>
      <c r="V47" s="450"/>
      <c r="W47" s="450"/>
      <c r="X47" s="448"/>
      <c r="Y47" s="448"/>
      <c r="Z47" s="448"/>
      <c r="AA47" s="448"/>
      <c r="AB47" s="448"/>
      <c r="AC47" s="448"/>
      <c r="AD47" s="448"/>
      <c r="AE47" s="444"/>
      <c r="AF47" s="444"/>
      <c r="AG47" s="444"/>
      <c r="AH47" s="444"/>
      <c r="AI47" s="444"/>
      <c r="AJ47" s="444"/>
      <c r="AK47" s="444"/>
      <c r="AL47" s="444"/>
      <c r="AM47" s="444"/>
      <c r="AN47" s="444"/>
      <c r="AO47" s="444"/>
      <c r="AP47" s="444"/>
      <c r="AQ47" s="56"/>
      <c r="AR47" s="56"/>
      <c r="AS47" s="56"/>
    </row>
    <row r="48" spans="1:45" ht="20.100000000000001" customHeight="1" x14ac:dyDescent="0.4">
      <c r="A48" s="56"/>
      <c r="B48" s="472">
        <v>3</v>
      </c>
      <c r="C48" s="452">
        <v>0.4236111111111111</v>
      </c>
      <c r="D48" s="452"/>
      <c r="E48" s="452"/>
      <c r="F48" s="443"/>
      <c r="G48" s="444"/>
      <c r="H48" s="444"/>
      <c r="I48" s="444"/>
      <c r="J48" s="445" t="str">
        <f t="shared" ref="J48" si="12">IFERROR(VLOOKUP(AR48,$C$36:$N$40,3,0),"")&amp;IFERROR(VLOOKUP(AR48,$Q$36:$AB$40,3,0),"")&amp;IFERROR(VLOOKUP(AR48,$AE$36:$AP$38,3,0),"")</f>
        <v>ＦＣアリーバ</v>
      </c>
      <c r="K48" s="446"/>
      <c r="L48" s="446"/>
      <c r="M48" s="446"/>
      <c r="N48" s="446"/>
      <c r="O48" s="446"/>
      <c r="P48" s="446"/>
      <c r="Q48" s="450">
        <f>IF(OR(S48="",S49=""),"",S48+S49)</f>
        <v>0</v>
      </c>
      <c r="R48" s="450"/>
      <c r="S48" s="222">
        <v>0</v>
      </c>
      <c r="T48" s="223" t="s">
        <v>30</v>
      </c>
      <c r="U48" s="222">
        <v>1</v>
      </c>
      <c r="V48" s="450">
        <f>IF(OR(U48="",U49=""),"",U48+U49)</f>
        <v>2</v>
      </c>
      <c r="W48" s="450"/>
      <c r="X48" s="447" t="str">
        <f t="shared" ref="X48" si="13">IFERROR(VLOOKUP(AS48,$C$36:$N$40,3,0),"")&amp;IFERROR(VLOOKUP(AS48,$Q$36:$AB$40,3,0),"")&amp;IFERROR(VLOOKUP(AS48,$AE$36:$AP$38,3,0),"")</f>
        <v>宝木キッカーズ</v>
      </c>
      <c r="Y48" s="448"/>
      <c r="Z48" s="448"/>
      <c r="AA48" s="448"/>
      <c r="AB48" s="448"/>
      <c r="AC48" s="448"/>
      <c r="AD48" s="448"/>
      <c r="AE48" s="443"/>
      <c r="AF48" s="444"/>
      <c r="AG48" s="444"/>
      <c r="AH48" s="444"/>
      <c r="AI48" s="450" t="str">
        <f ca="1">DBCS(INDIRECT("U12対戦スケジュール!e"&amp;(ROW()/2+8)))</f>
        <v>Ｂ６／Ｂ９／Ｂ９／Ｂ６</v>
      </c>
      <c r="AJ48" s="444"/>
      <c r="AK48" s="444"/>
      <c r="AL48" s="444"/>
      <c r="AM48" s="444"/>
      <c r="AN48" s="444"/>
      <c r="AO48" s="444"/>
      <c r="AP48" s="444"/>
      <c r="AQ48" s="56"/>
      <c r="AR48" s="56" t="s">
        <v>18</v>
      </c>
      <c r="AS48" s="56" t="s">
        <v>11</v>
      </c>
    </row>
    <row r="49" spans="1:45" ht="20.100000000000001" customHeight="1" x14ac:dyDescent="0.4">
      <c r="A49" s="56"/>
      <c r="B49" s="472"/>
      <c r="C49" s="452"/>
      <c r="D49" s="452"/>
      <c r="E49" s="452"/>
      <c r="F49" s="444"/>
      <c r="G49" s="444"/>
      <c r="H49" s="444"/>
      <c r="I49" s="444"/>
      <c r="J49" s="446"/>
      <c r="K49" s="446"/>
      <c r="L49" s="446"/>
      <c r="M49" s="446"/>
      <c r="N49" s="446"/>
      <c r="O49" s="446"/>
      <c r="P49" s="446"/>
      <c r="Q49" s="450"/>
      <c r="R49" s="450"/>
      <c r="S49" s="222">
        <v>0</v>
      </c>
      <c r="T49" s="223" t="s">
        <v>30</v>
      </c>
      <c r="U49" s="222">
        <v>1</v>
      </c>
      <c r="V49" s="450"/>
      <c r="W49" s="450"/>
      <c r="X49" s="448"/>
      <c r="Y49" s="448"/>
      <c r="Z49" s="448"/>
      <c r="AA49" s="448"/>
      <c r="AB49" s="448"/>
      <c r="AC49" s="448"/>
      <c r="AD49" s="448"/>
      <c r="AE49" s="444"/>
      <c r="AF49" s="444"/>
      <c r="AG49" s="444"/>
      <c r="AH49" s="444"/>
      <c r="AI49" s="444"/>
      <c r="AJ49" s="444"/>
      <c r="AK49" s="444"/>
      <c r="AL49" s="444"/>
      <c r="AM49" s="444"/>
      <c r="AN49" s="444"/>
      <c r="AO49" s="444"/>
      <c r="AP49" s="444"/>
      <c r="AQ49" s="56"/>
      <c r="AR49" s="56"/>
      <c r="AS49" s="56"/>
    </row>
    <row r="50" spans="1:45" ht="20.100000000000001" customHeight="1" x14ac:dyDescent="0.4">
      <c r="A50" s="56"/>
      <c r="B50" s="472">
        <v>4</v>
      </c>
      <c r="C50" s="452">
        <v>0.45833333333333331</v>
      </c>
      <c r="D50" s="452">
        <v>0.4375</v>
      </c>
      <c r="E50" s="452"/>
      <c r="F50" s="443"/>
      <c r="G50" s="444"/>
      <c r="H50" s="444"/>
      <c r="I50" s="444"/>
      <c r="J50" s="445" t="str">
        <f t="shared" ref="J50" si="14">IFERROR(VLOOKUP(AR50,$C$36:$N$40,3,0),"")&amp;IFERROR(VLOOKUP(AR50,$Q$36:$AB$40,3,0),"")&amp;IFERROR(VLOOKUP(AR50,$AE$36:$AP$38,3,0),"")</f>
        <v>雀宮ＦＣセカンド</v>
      </c>
      <c r="K50" s="446"/>
      <c r="L50" s="446"/>
      <c r="M50" s="446"/>
      <c r="N50" s="446"/>
      <c r="O50" s="446"/>
      <c r="P50" s="446"/>
      <c r="Q50" s="450">
        <f>IF(OR(S50="",S51=""),"",S50+S51)</f>
        <v>1</v>
      </c>
      <c r="R50" s="450"/>
      <c r="S50" s="222">
        <v>1</v>
      </c>
      <c r="T50" s="223" t="s">
        <v>30</v>
      </c>
      <c r="U50" s="222">
        <v>0</v>
      </c>
      <c r="V50" s="450">
        <f>IF(OR(U50="",U51=""),"",U50+U51)</f>
        <v>1</v>
      </c>
      <c r="W50" s="450"/>
      <c r="X50" s="447" t="str">
        <f t="shared" ref="X50" si="15">IFERROR(VLOOKUP(AS50,$C$36:$N$40,3,0),"")&amp;IFERROR(VLOOKUP(AS50,$Q$36:$AB$40,3,0),"")&amp;IFERROR(VLOOKUP(AS50,$AE$36:$AP$38,3,0),"")</f>
        <v>上三川ＳＣ</v>
      </c>
      <c r="Y50" s="448"/>
      <c r="Z50" s="448"/>
      <c r="AA50" s="448"/>
      <c r="AB50" s="448"/>
      <c r="AC50" s="448"/>
      <c r="AD50" s="448"/>
      <c r="AE50" s="443"/>
      <c r="AF50" s="444"/>
      <c r="AG50" s="444"/>
      <c r="AH50" s="444"/>
      <c r="AI50" s="450" t="str">
        <f ca="1">DBCS(INDIRECT("U12対戦スケジュール!e"&amp;(ROW()/2+8)))</f>
        <v>Ａ４／Ａ６／Ａ６／Ａ４</v>
      </c>
      <c r="AJ50" s="444"/>
      <c r="AK50" s="444"/>
      <c r="AL50" s="444"/>
      <c r="AM50" s="444"/>
      <c r="AN50" s="444"/>
      <c r="AO50" s="444"/>
      <c r="AP50" s="444"/>
      <c r="AQ50" s="56"/>
      <c r="AR50" s="56" t="s">
        <v>571</v>
      </c>
      <c r="AS50" s="56" t="s">
        <v>537</v>
      </c>
    </row>
    <row r="51" spans="1:45" ht="20.100000000000001" customHeight="1" x14ac:dyDescent="0.4">
      <c r="A51" s="56"/>
      <c r="B51" s="472"/>
      <c r="C51" s="452"/>
      <c r="D51" s="452"/>
      <c r="E51" s="452"/>
      <c r="F51" s="444"/>
      <c r="G51" s="444"/>
      <c r="H51" s="444"/>
      <c r="I51" s="444"/>
      <c r="J51" s="446"/>
      <c r="K51" s="446"/>
      <c r="L51" s="446"/>
      <c r="M51" s="446"/>
      <c r="N51" s="446"/>
      <c r="O51" s="446"/>
      <c r="P51" s="446"/>
      <c r="Q51" s="450"/>
      <c r="R51" s="450"/>
      <c r="S51" s="222">
        <v>0</v>
      </c>
      <c r="T51" s="223" t="s">
        <v>30</v>
      </c>
      <c r="U51" s="222">
        <v>1</v>
      </c>
      <c r="V51" s="450"/>
      <c r="W51" s="450"/>
      <c r="X51" s="448"/>
      <c r="Y51" s="448"/>
      <c r="Z51" s="448"/>
      <c r="AA51" s="448"/>
      <c r="AB51" s="448"/>
      <c r="AC51" s="448"/>
      <c r="AD51" s="448"/>
      <c r="AE51" s="444"/>
      <c r="AF51" s="444"/>
      <c r="AG51" s="444"/>
      <c r="AH51" s="444"/>
      <c r="AI51" s="444"/>
      <c r="AJ51" s="444"/>
      <c r="AK51" s="444"/>
      <c r="AL51" s="444"/>
      <c r="AM51" s="444"/>
      <c r="AN51" s="444"/>
      <c r="AO51" s="444"/>
      <c r="AP51" s="444"/>
      <c r="AQ51" s="56"/>
      <c r="AR51" s="56"/>
      <c r="AS51" s="56"/>
    </row>
    <row r="52" spans="1:45" ht="20.100000000000001" customHeight="1" x14ac:dyDescent="0.4">
      <c r="A52" s="56"/>
      <c r="B52" s="472">
        <v>5</v>
      </c>
      <c r="C52" s="452">
        <v>0.49305555555555558</v>
      </c>
      <c r="D52" s="452"/>
      <c r="E52" s="452"/>
      <c r="F52" s="443"/>
      <c r="G52" s="444"/>
      <c r="H52" s="444"/>
      <c r="I52" s="444"/>
      <c r="J52" s="445" t="str">
        <f t="shared" ref="J52" si="16">IFERROR(VLOOKUP(AR52,$C$36:$N$40,3,0),"")&amp;IFERROR(VLOOKUP(AR52,$Q$36:$AB$40,3,0),"")&amp;IFERROR(VLOOKUP(AR52,$AE$36:$AP$38,3,0),"")</f>
        <v>カテット白沢U11</v>
      </c>
      <c r="K52" s="446"/>
      <c r="L52" s="446"/>
      <c r="M52" s="446"/>
      <c r="N52" s="446"/>
      <c r="O52" s="446"/>
      <c r="P52" s="446"/>
      <c r="Q52" s="450">
        <f>IF(OR(S52="",S53=""),"",S52+S53)</f>
        <v>2</v>
      </c>
      <c r="R52" s="450"/>
      <c r="S52" s="222">
        <v>1</v>
      </c>
      <c r="T52" s="223" t="s">
        <v>30</v>
      </c>
      <c r="U52" s="222">
        <v>1</v>
      </c>
      <c r="V52" s="450">
        <f>IF(OR(U52="",U53=""),"",U52+U53)</f>
        <v>2</v>
      </c>
      <c r="W52" s="450"/>
      <c r="X52" s="447" t="str">
        <f t="shared" ref="X52" si="17">IFERROR(VLOOKUP(AS52,$C$36:$N$40,3,0),"")&amp;IFERROR(VLOOKUP(AS52,$Q$36:$AB$40,3,0),"")&amp;IFERROR(VLOOKUP(AS52,$AE$36:$AP$38,3,0),"")</f>
        <v>ｕｎｉｏｎｓｃU12</v>
      </c>
      <c r="Y52" s="448"/>
      <c r="Z52" s="448"/>
      <c r="AA52" s="448"/>
      <c r="AB52" s="448"/>
      <c r="AC52" s="448"/>
      <c r="AD52" s="448"/>
      <c r="AE52" s="443"/>
      <c r="AF52" s="444"/>
      <c r="AG52" s="444"/>
      <c r="AH52" s="444"/>
      <c r="AI52" s="450" t="str">
        <f ca="1">DBCS(INDIRECT("U12対戦スケジュール!e"&amp;(ROW()/2+8)))</f>
        <v>Ｂ３／Ｂ６／Ｂ６／Ｂ３</v>
      </c>
      <c r="AJ52" s="444"/>
      <c r="AK52" s="444"/>
      <c r="AL52" s="444"/>
      <c r="AM52" s="444"/>
      <c r="AN52" s="444"/>
      <c r="AO52" s="444"/>
      <c r="AP52" s="444"/>
      <c r="AQ52" s="56"/>
      <c r="AR52" s="56" t="s">
        <v>15</v>
      </c>
      <c r="AS52" s="56" t="s">
        <v>21</v>
      </c>
    </row>
    <row r="53" spans="1:45" ht="20.100000000000001" customHeight="1" x14ac:dyDescent="0.4">
      <c r="A53" s="56"/>
      <c r="B53" s="472"/>
      <c r="C53" s="452"/>
      <c r="D53" s="452"/>
      <c r="E53" s="452"/>
      <c r="F53" s="444"/>
      <c r="G53" s="444"/>
      <c r="H53" s="444"/>
      <c r="I53" s="444"/>
      <c r="J53" s="446"/>
      <c r="K53" s="446"/>
      <c r="L53" s="446"/>
      <c r="M53" s="446"/>
      <c r="N53" s="446"/>
      <c r="O53" s="446"/>
      <c r="P53" s="446"/>
      <c r="Q53" s="450"/>
      <c r="R53" s="450"/>
      <c r="S53" s="222">
        <v>1</v>
      </c>
      <c r="T53" s="223" t="s">
        <v>30</v>
      </c>
      <c r="U53" s="222">
        <v>1</v>
      </c>
      <c r="V53" s="450"/>
      <c r="W53" s="450"/>
      <c r="X53" s="448"/>
      <c r="Y53" s="448"/>
      <c r="Z53" s="448"/>
      <c r="AA53" s="448"/>
      <c r="AB53" s="448"/>
      <c r="AC53" s="448"/>
      <c r="AD53" s="448"/>
      <c r="AE53" s="444"/>
      <c r="AF53" s="444"/>
      <c r="AG53" s="444"/>
      <c r="AH53" s="444"/>
      <c r="AI53" s="444"/>
      <c r="AJ53" s="444"/>
      <c r="AK53" s="444"/>
      <c r="AL53" s="444"/>
      <c r="AM53" s="444"/>
      <c r="AN53" s="444"/>
      <c r="AO53" s="444"/>
      <c r="AP53" s="444"/>
      <c r="AQ53" s="56"/>
      <c r="AR53" s="56"/>
      <c r="AS53" s="56"/>
    </row>
    <row r="54" spans="1:45" ht="20.100000000000001" customHeight="1" x14ac:dyDescent="0.4">
      <c r="A54" s="56"/>
      <c r="B54" s="472">
        <v>6</v>
      </c>
      <c r="C54" s="452">
        <v>0.52777777777777779</v>
      </c>
      <c r="D54" s="452">
        <v>0.4375</v>
      </c>
      <c r="E54" s="452"/>
      <c r="F54" s="443"/>
      <c r="G54" s="444"/>
      <c r="H54" s="444"/>
      <c r="I54" s="444"/>
      <c r="J54" s="445" t="str">
        <f t="shared" ref="J54" si="18">IFERROR(VLOOKUP(AR54,$C$36:$N$40,3,0),"")&amp;IFERROR(VLOOKUP(AR54,$Q$36:$AB$40,3,0),"")&amp;IFERROR(VLOOKUP(AR54,$AE$36:$AP$38,3,0),"")</f>
        <v>昭和・戸祭ＳＣ-O</v>
      </c>
      <c r="K54" s="446"/>
      <c r="L54" s="446"/>
      <c r="M54" s="446"/>
      <c r="N54" s="446"/>
      <c r="O54" s="446"/>
      <c r="P54" s="446"/>
      <c r="Q54" s="450">
        <f>IF(OR(S54="",S55=""),"",S54+S55)</f>
        <v>9</v>
      </c>
      <c r="R54" s="450"/>
      <c r="S54" s="222">
        <v>5</v>
      </c>
      <c r="T54" s="223" t="s">
        <v>30</v>
      </c>
      <c r="U54" s="222">
        <v>0</v>
      </c>
      <c r="V54" s="450">
        <f>IF(OR(U54="",U55=""),"",U54+U55)</f>
        <v>0</v>
      </c>
      <c r="W54" s="450"/>
      <c r="X54" s="447" t="str">
        <f t="shared" ref="X54" si="19">IFERROR(VLOOKUP(AS54,$C$36:$N$40,3,0),"")&amp;IFERROR(VLOOKUP(AS54,$Q$36:$AB$40,3,0),"")&amp;IFERROR(VLOOKUP(AS54,$AE$36:$AP$38,3,0),"")</f>
        <v>雀宮ＦＣセカンド</v>
      </c>
      <c r="Y54" s="448"/>
      <c r="Z54" s="448"/>
      <c r="AA54" s="448"/>
      <c r="AB54" s="448"/>
      <c r="AC54" s="448"/>
      <c r="AD54" s="448"/>
      <c r="AE54" s="443"/>
      <c r="AF54" s="444"/>
      <c r="AG54" s="444"/>
      <c r="AH54" s="444"/>
      <c r="AI54" s="450" t="str">
        <f ca="1">DBCS(INDIRECT("U12対戦スケジュール!e"&amp;(ROW()/2+8)))</f>
        <v>Ａ３／Ａ５／Ａ５／Ａ３</v>
      </c>
      <c r="AJ54" s="444"/>
      <c r="AK54" s="444"/>
      <c r="AL54" s="444"/>
      <c r="AM54" s="444"/>
      <c r="AN54" s="444"/>
      <c r="AO54" s="444"/>
      <c r="AP54" s="444"/>
      <c r="AQ54" s="56"/>
      <c r="AR54" s="56" t="s">
        <v>12</v>
      </c>
      <c r="AS54" s="56" t="s">
        <v>571</v>
      </c>
    </row>
    <row r="55" spans="1:45" ht="20.100000000000001" customHeight="1" x14ac:dyDescent="0.4">
      <c r="A55" s="56"/>
      <c r="B55" s="472"/>
      <c r="C55" s="452"/>
      <c r="D55" s="452"/>
      <c r="E55" s="452"/>
      <c r="F55" s="444"/>
      <c r="G55" s="444"/>
      <c r="H55" s="444"/>
      <c r="I55" s="444"/>
      <c r="J55" s="446"/>
      <c r="K55" s="446"/>
      <c r="L55" s="446"/>
      <c r="M55" s="446"/>
      <c r="N55" s="446"/>
      <c r="O55" s="446"/>
      <c r="P55" s="446"/>
      <c r="Q55" s="450"/>
      <c r="R55" s="450"/>
      <c r="S55" s="222">
        <v>4</v>
      </c>
      <c r="T55" s="223" t="s">
        <v>30</v>
      </c>
      <c r="U55" s="222">
        <v>0</v>
      </c>
      <c r="V55" s="450"/>
      <c r="W55" s="450"/>
      <c r="X55" s="448"/>
      <c r="Y55" s="448"/>
      <c r="Z55" s="448"/>
      <c r="AA55" s="448"/>
      <c r="AB55" s="448"/>
      <c r="AC55" s="448"/>
      <c r="AD55" s="448"/>
      <c r="AE55" s="444"/>
      <c r="AF55" s="444"/>
      <c r="AG55" s="444"/>
      <c r="AH55" s="444"/>
      <c r="AI55" s="444"/>
      <c r="AJ55" s="444"/>
      <c r="AK55" s="444"/>
      <c r="AL55" s="444"/>
      <c r="AM55" s="444"/>
      <c r="AN55" s="444"/>
      <c r="AO55" s="444"/>
      <c r="AP55" s="444"/>
      <c r="AQ55" s="56"/>
      <c r="AR55" s="56"/>
      <c r="AS55" s="56"/>
    </row>
    <row r="56" spans="1:45" ht="20.100000000000001" hidden="1" customHeight="1" x14ac:dyDescent="0.4">
      <c r="A56" s="56"/>
      <c r="B56" s="472">
        <v>7</v>
      </c>
      <c r="C56" s="452">
        <v>0.5625</v>
      </c>
      <c r="D56" s="452">
        <v>0.4375</v>
      </c>
      <c r="E56" s="452"/>
      <c r="F56" s="443"/>
      <c r="G56" s="444"/>
      <c r="H56" s="444"/>
      <c r="I56" s="444"/>
      <c r="J56" s="445"/>
      <c r="K56" s="446"/>
      <c r="L56" s="446"/>
      <c r="M56" s="446"/>
      <c r="N56" s="446"/>
      <c r="O56" s="446"/>
      <c r="P56" s="446"/>
      <c r="Q56" s="450" t="str">
        <f>IF(OR(S56="",S57=""),"",S56+S57)</f>
        <v/>
      </c>
      <c r="R56" s="450"/>
      <c r="S56" s="222"/>
      <c r="T56" s="223" t="s">
        <v>30</v>
      </c>
      <c r="U56" s="222"/>
      <c r="V56" s="450" t="str">
        <f>IF(OR(U56="",U57=""),"",U56+U57)</f>
        <v/>
      </c>
      <c r="W56" s="450"/>
      <c r="X56" s="447"/>
      <c r="Y56" s="448"/>
      <c r="Z56" s="448"/>
      <c r="AA56" s="448"/>
      <c r="AB56" s="448"/>
      <c r="AC56" s="448"/>
      <c r="AD56" s="448"/>
      <c r="AE56" s="443"/>
      <c r="AF56" s="444"/>
      <c r="AG56" s="444"/>
      <c r="AH56" s="444"/>
      <c r="AI56" s="450"/>
      <c r="AJ56" s="444"/>
      <c r="AK56" s="444"/>
      <c r="AL56" s="444"/>
      <c r="AM56" s="444"/>
      <c r="AN56" s="444"/>
      <c r="AO56" s="444"/>
      <c r="AP56" s="444"/>
      <c r="AQ56" s="56"/>
      <c r="AR56" s="56"/>
      <c r="AS56" s="56"/>
    </row>
    <row r="57" spans="1:45" ht="20.100000000000001" hidden="1" customHeight="1" x14ac:dyDescent="0.4">
      <c r="A57" s="56"/>
      <c r="B57" s="472"/>
      <c r="C57" s="452"/>
      <c r="D57" s="452"/>
      <c r="E57" s="452"/>
      <c r="F57" s="444"/>
      <c r="G57" s="444"/>
      <c r="H57" s="444"/>
      <c r="I57" s="444"/>
      <c r="J57" s="446"/>
      <c r="K57" s="446"/>
      <c r="L57" s="446"/>
      <c r="M57" s="446"/>
      <c r="N57" s="446"/>
      <c r="O57" s="446"/>
      <c r="P57" s="446"/>
      <c r="Q57" s="450"/>
      <c r="R57" s="450"/>
      <c r="S57" s="222"/>
      <c r="T57" s="223" t="s">
        <v>30</v>
      </c>
      <c r="U57" s="222"/>
      <c r="V57" s="450"/>
      <c r="W57" s="450"/>
      <c r="X57" s="448"/>
      <c r="Y57" s="448"/>
      <c r="Z57" s="448"/>
      <c r="AA57" s="448"/>
      <c r="AB57" s="448"/>
      <c r="AC57" s="448"/>
      <c r="AD57" s="448"/>
      <c r="AE57" s="444"/>
      <c r="AF57" s="444"/>
      <c r="AG57" s="444"/>
      <c r="AH57" s="444"/>
      <c r="AI57" s="444"/>
      <c r="AJ57" s="444"/>
      <c r="AK57" s="444"/>
      <c r="AL57" s="444"/>
      <c r="AM57" s="444"/>
      <c r="AN57" s="444"/>
      <c r="AO57" s="444"/>
      <c r="AP57" s="444"/>
      <c r="AQ57" s="56"/>
      <c r="AR57" s="56"/>
      <c r="AS57" s="56"/>
    </row>
    <row r="58" spans="1:45" ht="15.75" customHeight="1" x14ac:dyDescent="0.4">
      <c r="A58" s="58"/>
      <c r="B58" s="59"/>
      <c r="C58" s="60"/>
      <c r="D58" s="60"/>
      <c r="E58" s="60"/>
      <c r="F58" s="59"/>
      <c r="G58" s="59"/>
      <c r="H58" s="59"/>
      <c r="I58" s="59"/>
      <c r="J58" s="59"/>
      <c r="K58" s="61"/>
      <c r="L58" s="61"/>
      <c r="M58" s="62"/>
      <c r="N58" s="63"/>
      <c r="O58" s="62"/>
      <c r="P58" s="61"/>
      <c r="Q58" s="61"/>
      <c r="R58" s="59"/>
      <c r="S58" s="59"/>
      <c r="T58" s="59"/>
      <c r="U58" s="59"/>
      <c r="V58" s="59"/>
      <c r="W58" s="66"/>
      <c r="X58" s="66"/>
      <c r="Y58" s="66"/>
      <c r="Z58" s="66"/>
      <c r="AA58" s="66"/>
      <c r="AB58" s="66"/>
      <c r="AC58" s="58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</row>
    <row r="59" spans="1:45" ht="20.25" customHeight="1" x14ac:dyDescent="0.4">
      <c r="A59" s="56"/>
      <c r="B59" s="56"/>
      <c r="C59" s="56"/>
      <c r="D59" s="477" t="s">
        <v>31</v>
      </c>
      <c r="E59" s="477"/>
      <c r="F59" s="477"/>
      <c r="G59" s="477"/>
      <c r="H59" s="477"/>
      <c r="I59" s="477"/>
      <c r="J59" s="477" t="s">
        <v>27</v>
      </c>
      <c r="K59" s="477"/>
      <c r="L59" s="477"/>
      <c r="M59" s="477"/>
      <c r="N59" s="477"/>
      <c r="O59" s="477"/>
      <c r="P59" s="477"/>
      <c r="Q59" s="477"/>
      <c r="R59" s="478" t="s">
        <v>32</v>
      </c>
      <c r="S59" s="478"/>
      <c r="T59" s="478"/>
      <c r="U59" s="478"/>
      <c r="V59" s="478"/>
      <c r="W59" s="478"/>
      <c r="X59" s="478"/>
      <c r="Y59" s="478"/>
      <c r="Z59" s="478"/>
      <c r="AA59" s="479" t="s">
        <v>33</v>
      </c>
      <c r="AB59" s="479"/>
      <c r="AC59" s="479"/>
      <c r="AD59" s="479" t="s">
        <v>34</v>
      </c>
      <c r="AE59" s="479"/>
      <c r="AF59" s="479"/>
      <c r="AG59" s="479"/>
      <c r="AH59" s="479"/>
      <c r="AI59" s="479"/>
      <c r="AJ59" s="479"/>
      <c r="AK59" s="479"/>
      <c r="AL59" s="479"/>
      <c r="AM59" s="479"/>
      <c r="AN59" s="56"/>
      <c r="AO59" s="56"/>
      <c r="AP59" s="56"/>
      <c r="AQ59" s="56"/>
      <c r="AR59" s="56"/>
      <c r="AS59" s="56"/>
    </row>
    <row r="60" spans="1:45" ht="30" customHeight="1" x14ac:dyDescent="0.4">
      <c r="A60" s="56"/>
      <c r="B60" s="56"/>
      <c r="C60" s="56"/>
      <c r="D60" s="519" t="s">
        <v>572</v>
      </c>
      <c r="E60" s="519"/>
      <c r="F60" s="519"/>
      <c r="G60" s="519"/>
      <c r="H60" s="519"/>
      <c r="I60" s="519"/>
      <c r="J60" s="519"/>
      <c r="K60" s="519"/>
      <c r="L60" s="519"/>
      <c r="M60" s="519"/>
      <c r="N60" s="519"/>
      <c r="O60" s="519"/>
      <c r="P60" s="519"/>
      <c r="Q60" s="519"/>
      <c r="R60" s="481"/>
      <c r="S60" s="481"/>
      <c r="T60" s="481"/>
      <c r="U60" s="481"/>
      <c r="V60" s="481"/>
      <c r="W60" s="481"/>
      <c r="X60" s="481"/>
      <c r="Y60" s="481"/>
      <c r="Z60" s="481"/>
      <c r="AA60" s="481"/>
      <c r="AB60" s="481"/>
      <c r="AC60" s="481"/>
      <c r="AD60" s="520"/>
      <c r="AE60" s="520"/>
      <c r="AF60" s="520"/>
      <c r="AG60" s="520"/>
      <c r="AH60" s="520"/>
      <c r="AI60" s="520"/>
      <c r="AJ60" s="520"/>
      <c r="AK60" s="520"/>
      <c r="AL60" s="520"/>
      <c r="AM60" s="520"/>
      <c r="AN60" s="56"/>
      <c r="AO60" s="56"/>
      <c r="AP60" s="56"/>
      <c r="AQ60" s="56"/>
      <c r="AR60" s="56"/>
      <c r="AS60" s="56"/>
    </row>
    <row r="61" spans="1:45" ht="30" customHeight="1" x14ac:dyDescent="0.4">
      <c r="A61" s="56"/>
      <c r="B61" s="56"/>
      <c r="C61" s="56"/>
      <c r="D61" s="477" t="s">
        <v>35</v>
      </c>
      <c r="E61" s="477"/>
      <c r="F61" s="477"/>
      <c r="G61" s="477"/>
      <c r="H61" s="477"/>
      <c r="I61" s="477"/>
      <c r="J61" s="477"/>
      <c r="K61" s="477"/>
      <c r="L61" s="477"/>
      <c r="M61" s="477"/>
      <c r="N61" s="477"/>
      <c r="O61" s="477"/>
      <c r="P61" s="477"/>
      <c r="Q61" s="477"/>
      <c r="R61" s="478"/>
      <c r="S61" s="478"/>
      <c r="T61" s="478"/>
      <c r="U61" s="478"/>
      <c r="V61" s="478"/>
      <c r="W61" s="478"/>
      <c r="X61" s="478"/>
      <c r="Y61" s="478"/>
      <c r="Z61" s="478"/>
      <c r="AA61" s="479"/>
      <c r="AB61" s="479"/>
      <c r="AC61" s="479"/>
      <c r="AD61" s="480"/>
      <c r="AE61" s="480"/>
      <c r="AF61" s="480"/>
      <c r="AG61" s="480"/>
      <c r="AH61" s="480"/>
      <c r="AI61" s="480"/>
      <c r="AJ61" s="480"/>
      <c r="AK61" s="480"/>
      <c r="AL61" s="480"/>
      <c r="AM61" s="480"/>
      <c r="AN61" s="56"/>
      <c r="AO61" s="56"/>
      <c r="AP61" s="56"/>
      <c r="AQ61" s="56"/>
      <c r="AR61" s="56"/>
      <c r="AS61" s="56"/>
    </row>
    <row r="62" spans="1:45" ht="30" customHeight="1" x14ac:dyDescent="0.4">
      <c r="A62" s="56"/>
      <c r="B62" s="56"/>
      <c r="C62" s="56"/>
      <c r="D62" s="477" t="s">
        <v>35</v>
      </c>
      <c r="E62" s="477"/>
      <c r="F62" s="477"/>
      <c r="G62" s="477"/>
      <c r="H62" s="477"/>
      <c r="I62" s="477"/>
      <c r="J62" s="477"/>
      <c r="K62" s="477"/>
      <c r="L62" s="477"/>
      <c r="M62" s="477"/>
      <c r="N62" s="477"/>
      <c r="O62" s="477"/>
      <c r="P62" s="477"/>
      <c r="Q62" s="477"/>
      <c r="R62" s="478"/>
      <c r="S62" s="478"/>
      <c r="T62" s="478"/>
      <c r="U62" s="478"/>
      <c r="V62" s="478"/>
      <c r="W62" s="478"/>
      <c r="X62" s="478"/>
      <c r="Y62" s="478"/>
      <c r="Z62" s="478"/>
      <c r="AA62" s="479"/>
      <c r="AB62" s="479"/>
      <c r="AC62" s="479"/>
      <c r="AD62" s="480"/>
      <c r="AE62" s="480"/>
      <c r="AF62" s="480"/>
      <c r="AG62" s="480"/>
      <c r="AH62" s="480"/>
      <c r="AI62" s="480"/>
      <c r="AJ62" s="480"/>
      <c r="AK62" s="480"/>
      <c r="AL62" s="480"/>
      <c r="AM62" s="480"/>
      <c r="AN62" s="56"/>
      <c r="AO62" s="56"/>
      <c r="AP62" s="56"/>
      <c r="AQ62" s="56"/>
      <c r="AR62" s="56"/>
      <c r="AS62" s="56"/>
    </row>
    <row r="63" spans="1:45" ht="14.25" customHeight="1" x14ac:dyDescent="0.4">
      <c r="A63" s="451" t="s">
        <v>550</v>
      </c>
      <c r="B63" s="451"/>
      <c r="C63" s="451"/>
      <c r="D63" s="451"/>
      <c r="E63" s="451"/>
      <c r="F63" s="451"/>
      <c r="G63" s="451"/>
      <c r="H63" s="451"/>
      <c r="I63" s="451"/>
      <c r="J63" s="451"/>
      <c r="K63" s="451"/>
      <c r="L63" s="451"/>
      <c r="M63" s="451"/>
      <c r="N63" s="451"/>
      <c r="O63" s="451"/>
      <c r="P63" s="451"/>
      <c r="Q63" s="451"/>
      <c r="R63" s="451"/>
      <c r="S63" s="451"/>
      <c r="T63" s="451"/>
      <c r="U63" s="451"/>
      <c r="V63" s="451"/>
      <c r="W63" s="451"/>
      <c r="X63" s="451"/>
      <c r="Y63" s="451"/>
      <c r="Z63" s="451"/>
      <c r="AA63" s="451"/>
      <c r="AB63" s="451"/>
      <c r="AC63" s="451"/>
      <c r="AD63" s="451"/>
      <c r="AE63" s="451"/>
      <c r="AF63" s="451"/>
      <c r="AG63" s="451"/>
      <c r="AH63" s="451"/>
      <c r="AI63" s="451"/>
      <c r="AJ63" s="451"/>
      <c r="AK63" s="451"/>
      <c r="AL63" s="451"/>
      <c r="AM63" s="451"/>
      <c r="AN63" s="451"/>
      <c r="AO63" s="451"/>
      <c r="AP63" s="451"/>
      <c r="AQ63" s="451"/>
      <c r="AR63" s="56"/>
      <c r="AS63" s="56"/>
    </row>
    <row r="64" spans="1:45" ht="14.25" customHeight="1" x14ac:dyDescent="0.4">
      <c r="A64" s="451"/>
      <c r="B64" s="451"/>
      <c r="C64" s="451"/>
      <c r="D64" s="451"/>
      <c r="E64" s="451"/>
      <c r="F64" s="451"/>
      <c r="G64" s="451"/>
      <c r="H64" s="451"/>
      <c r="I64" s="451"/>
      <c r="J64" s="451"/>
      <c r="K64" s="451"/>
      <c r="L64" s="451"/>
      <c r="M64" s="451"/>
      <c r="N64" s="451"/>
      <c r="O64" s="451"/>
      <c r="P64" s="451"/>
      <c r="Q64" s="451"/>
      <c r="R64" s="451"/>
      <c r="S64" s="451"/>
      <c r="T64" s="451"/>
      <c r="U64" s="451"/>
      <c r="V64" s="451"/>
      <c r="W64" s="451"/>
      <c r="X64" s="451"/>
      <c r="Y64" s="451"/>
      <c r="Z64" s="451"/>
      <c r="AA64" s="451"/>
      <c r="AB64" s="451"/>
      <c r="AC64" s="451"/>
      <c r="AD64" s="451"/>
      <c r="AE64" s="451"/>
      <c r="AF64" s="451"/>
      <c r="AG64" s="451"/>
      <c r="AH64" s="451"/>
      <c r="AI64" s="451"/>
      <c r="AJ64" s="451"/>
      <c r="AK64" s="451"/>
      <c r="AL64" s="451"/>
      <c r="AM64" s="451"/>
      <c r="AN64" s="451"/>
      <c r="AO64" s="451"/>
      <c r="AP64" s="451"/>
      <c r="AQ64" s="451"/>
      <c r="AR64" s="56"/>
      <c r="AS64" s="56"/>
    </row>
    <row r="65" spans="1:45" ht="27.75" customHeight="1" x14ac:dyDescent="0.4">
      <c r="A65" s="56"/>
      <c r="B65" s="56"/>
      <c r="C65" s="460" t="s">
        <v>8</v>
      </c>
      <c r="D65" s="460"/>
      <c r="E65" s="460"/>
      <c r="F65" s="460"/>
      <c r="G65" s="482" t="str">
        <f>U12対戦スケジュール!D53</f>
        <v>石井緑地 No.２</v>
      </c>
      <c r="H65" s="483"/>
      <c r="I65" s="483"/>
      <c r="J65" s="483"/>
      <c r="K65" s="483"/>
      <c r="L65" s="483"/>
      <c r="M65" s="483"/>
      <c r="N65" s="483"/>
      <c r="O65" s="483"/>
      <c r="P65" s="460" t="s">
        <v>0</v>
      </c>
      <c r="Q65" s="460"/>
      <c r="R65" s="460"/>
      <c r="S65" s="460"/>
      <c r="T65" s="482" t="str">
        <f>U12対戦スケジュール!D54</f>
        <v>シャルムグランツＳＣ</v>
      </c>
      <c r="U65" s="483"/>
      <c r="V65" s="483"/>
      <c r="W65" s="483"/>
      <c r="X65" s="483"/>
      <c r="Y65" s="483"/>
      <c r="Z65" s="483"/>
      <c r="AA65" s="483"/>
      <c r="AB65" s="483"/>
      <c r="AC65" s="460" t="s">
        <v>9</v>
      </c>
      <c r="AD65" s="460"/>
      <c r="AE65" s="460"/>
      <c r="AF65" s="460"/>
      <c r="AG65" s="484">
        <f>U12組合せ!$B36</f>
        <v>43750</v>
      </c>
      <c r="AH65" s="485"/>
      <c r="AI65" s="485"/>
      <c r="AJ65" s="485"/>
      <c r="AK65" s="485"/>
      <c r="AL65" s="485"/>
      <c r="AM65" s="486" t="str">
        <f>"（"&amp;TEXT(AG65,"aaa")&amp;"）"</f>
        <v>（土）</v>
      </c>
      <c r="AN65" s="486"/>
      <c r="AO65" s="487"/>
      <c r="AP65" s="56"/>
      <c r="AQ65" s="56"/>
      <c r="AR65" s="56"/>
      <c r="AS65" s="56"/>
    </row>
    <row r="66" spans="1:45" ht="15" customHeight="1" x14ac:dyDescent="0.4">
      <c r="A66" s="56"/>
      <c r="B66" s="56"/>
      <c r="C66" s="56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64"/>
      <c r="X66" s="64"/>
      <c r="Y66" s="64"/>
      <c r="Z66" s="64"/>
      <c r="AA66" s="64"/>
      <c r="AB66" s="64"/>
      <c r="AC66" s="64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</row>
    <row r="67" spans="1:45" ht="18" customHeight="1" x14ac:dyDescent="0.4">
      <c r="A67" s="56"/>
      <c r="B67" s="56"/>
      <c r="C67" s="475" t="s">
        <v>10</v>
      </c>
      <c r="D67" s="475"/>
      <c r="E67" s="476" t="str">
        <f>U12組合せ!$D14</f>
        <v>岡西ＦＣ</v>
      </c>
      <c r="F67" s="476"/>
      <c r="G67" s="476"/>
      <c r="H67" s="476"/>
      <c r="I67" s="476"/>
      <c r="J67" s="476"/>
      <c r="K67" s="476"/>
      <c r="L67" s="476"/>
      <c r="M67" s="476"/>
      <c r="N67" s="476"/>
      <c r="O67" s="58"/>
      <c r="P67" s="58"/>
      <c r="Q67" s="475" t="s">
        <v>11</v>
      </c>
      <c r="R67" s="475"/>
      <c r="S67" s="476" t="str">
        <f>U12組合せ!$D19</f>
        <v>宝木キッカーズ</v>
      </c>
      <c r="T67" s="476"/>
      <c r="U67" s="476"/>
      <c r="V67" s="476"/>
      <c r="W67" s="476"/>
      <c r="X67" s="476"/>
      <c r="Y67" s="476"/>
      <c r="Z67" s="476"/>
      <c r="AA67" s="476"/>
      <c r="AB67" s="476"/>
      <c r="AC67" s="68"/>
      <c r="AD67" s="55"/>
      <c r="AE67" s="512" t="s">
        <v>541</v>
      </c>
      <c r="AF67" s="512"/>
      <c r="AG67" s="511" t="str">
        <f>U12組合せ!F16</f>
        <v>昭和・戸祭ＳＣ-O</v>
      </c>
      <c r="AH67" s="513"/>
      <c r="AI67" s="513"/>
      <c r="AJ67" s="513"/>
      <c r="AK67" s="513"/>
      <c r="AL67" s="513"/>
      <c r="AM67" s="513"/>
      <c r="AN67" s="513"/>
      <c r="AO67" s="513"/>
      <c r="AP67" s="513"/>
      <c r="AQ67" s="56"/>
      <c r="AR67" s="56"/>
      <c r="AS67" s="56"/>
    </row>
    <row r="68" spans="1:45" ht="18" customHeight="1" x14ac:dyDescent="0.4">
      <c r="A68" s="56"/>
      <c r="B68" s="56"/>
      <c r="C68" s="475" t="s">
        <v>13</v>
      </c>
      <c r="D68" s="475"/>
      <c r="E68" s="476" t="str">
        <f>U12組合せ!$D15</f>
        <v>国本ＪＳＣ</v>
      </c>
      <c r="F68" s="476"/>
      <c r="G68" s="476"/>
      <c r="H68" s="476"/>
      <c r="I68" s="476"/>
      <c r="J68" s="476"/>
      <c r="K68" s="476"/>
      <c r="L68" s="476"/>
      <c r="M68" s="476"/>
      <c r="N68" s="476"/>
      <c r="O68" s="58"/>
      <c r="P68" s="58"/>
      <c r="Q68" s="475" t="s">
        <v>14</v>
      </c>
      <c r="R68" s="475"/>
      <c r="S68" s="476" t="str">
        <f>U12組合せ!$D20</f>
        <v>サウス宇都宮ＳＣ</v>
      </c>
      <c r="T68" s="476"/>
      <c r="U68" s="476"/>
      <c r="V68" s="476"/>
      <c r="W68" s="476"/>
      <c r="X68" s="476"/>
      <c r="Y68" s="476"/>
      <c r="Z68" s="476"/>
      <c r="AA68" s="476"/>
      <c r="AB68" s="476"/>
      <c r="AC68" s="68"/>
      <c r="AD68" s="55"/>
      <c r="AE68" s="512" t="s">
        <v>542</v>
      </c>
      <c r="AF68" s="512"/>
      <c r="AG68" s="511" t="str">
        <f>U12組合せ!F17</f>
        <v>シャルムグランツＳＣ</v>
      </c>
      <c r="AH68" s="513"/>
      <c r="AI68" s="513"/>
      <c r="AJ68" s="513"/>
      <c r="AK68" s="513"/>
      <c r="AL68" s="513"/>
      <c r="AM68" s="513"/>
      <c r="AN68" s="513"/>
      <c r="AO68" s="513"/>
      <c r="AP68" s="513"/>
      <c r="AQ68" s="56"/>
      <c r="AR68" s="56"/>
      <c r="AS68" s="56"/>
    </row>
    <row r="69" spans="1:45" ht="18" customHeight="1" x14ac:dyDescent="0.4">
      <c r="A69" s="56"/>
      <c r="B69" s="56"/>
      <c r="C69" s="475" t="s">
        <v>15</v>
      </c>
      <c r="D69" s="475"/>
      <c r="E69" s="476" t="str">
        <f>U12組合せ!$D16</f>
        <v>カテット白沢U11</v>
      </c>
      <c r="F69" s="476"/>
      <c r="G69" s="476"/>
      <c r="H69" s="476"/>
      <c r="I69" s="476"/>
      <c r="J69" s="476"/>
      <c r="K69" s="476"/>
      <c r="L69" s="476"/>
      <c r="M69" s="476"/>
      <c r="N69" s="476"/>
      <c r="O69" s="58"/>
      <c r="P69" s="58"/>
      <c r="Q69" s="475" t="s">
        <v>16</v>
      </c>
      <c r="R69" s="475"/>
      <c r="S69" s="476" t="str">
        <f>U12組合せ!$D21</f>
        <v>ブラッドレスＳＳ</v>
      </c>
      <c r="T69" s="476"/>
      <c r="U69" s="476"/>
      <c r="V69" s="476"/>
      <c r="W69" s="476"/>
      <c r="X69" s="476"/>
      <c r="Y69" s="476"/>
      <c r="Z69" s="476"/>
      <c r="AA69" s="476"/>
      <c r="AB69" s="476"/>
      <c r="AC69" s="68"/>
      <c r="AD69" s="55"/>
      <c r="AE69" s="512" t="s">
        <v>535</v>
      </c>
      <c r="AF69" s="512"/>
      <c r="AG69" s="511" t="str">
        <f>U12組合せ!F21</f>
        <v>FCブロケード・陽東U11</v>
      </c>
      <c r="AH69" s="513"/>
      <c r="AI69" s="513"/>
      <c r="AJ69" s="513"/>
      <c r="AK69" s="513"/>
      <c r="AL69" s="513"/>
      <c r="AM69" s="513"/>
      <c r="AN69" s="513"/>
      <c r="AO69" s="513"/>
      <c r="AP69" s="513"/>
      <c r="AQ69" s="56"/>
      <c r="AR69" s="56"/>
      <c r="AS69" s="56"/>
    </row>
    <row r="70" spans="1:45" ht="18" customHeight="1" x14ac:dyDescent="0.4">
      <c r="A70" s="56"/>
      <c r="B70" s="57"/>
      <c r="C70" s="475" t="s">
        <v>18</v>
      </c>
      <c r="D70" s="475"/>
      <c r="E70" s="476" t="str">
        <f>U12組合せ!$D17</f>
        <v>ＦＣアリーバ</v>
      </c>
      <c r="F70" s="476"/>
      <c r="G70" s="476"/>
      <c r="H70" s="476"/>
      <c r="I70" s="476"/>
      <c r="J70" s="476"/>
      <c r="K70" s="476"/>
      <c r="L70" s="476"/>
      <c r="M70" s="476"/>
      <c r="N70" s="476"/>
      <c r="O70" s="58"/>
      <c r="P70" s="58"/>
      <c r="Q70" s="475" t="s">
        <v>19</v>
      </c>
      <c r="R70" s="475"/>
      <c r="S70" s="476" t="str">
        <f>U12組合せ!$D22</f>
        <v>泉ＦＣ宇都宮</v>
      </c>
      <c r="T70" s="476"/>
      <c r="U70" s="476"/>
      <c r="V70" s="476"/>
      <c r="W70" s="476"/>
      <c r="X70" s="476"/>
      <c r="Y70" s="476"/>
      <c r="Z70" s="476"/>
      <c r="AA70" s="476"/>
      <c r="AB70" s="476"/>
      <c r="AC70" s="68"/>
      <c r="AD70" s="58"/>
      <c r="AE70" s="475"/>
      <c r="AF70" s="475"/>
      <c r="AG70" s="476"/>
      <c r="AH70" s="476"/>
      <c r="AI70" s="476"/>
      <c r="AJ70" s="476"/>
      <c r="AK70" s="476"/>
      <c r="AL70" s="476"/>
      <c r="AM70" s="476"/>
      <c r="AN70" s="476"/>
      <c r="AO70" s="476"/>
      <c r="AP70" s="476"/>
      <c r="AQ70" s="57"/>
      <c r="AR70" s="56"/>
      <c r="AS70" s="56"/>
    </row>
    <row r="71" spans="1:45" ht="18" customHeight="1" x14ac:dyDescent="0.4">
      <c r="A71" s="56"/>
      <c r="B71" s="56"/>
      <c r="C71" s="475" t="s">
        <v>21</v>
      </c>
      <c r="D71" s="475"/>
      <c r="E71" s="476" t="str">
        <f>U12組合せ!$D18</f>
        <v>ｕｎｉｏｎｓｃU12</v>
      </c>
      <c r="F71" s="476"/>
      <c r="G71" s="476"/>
      <c r="H71" s="476"/>
      <c r="I71" s="476"/>
      <c r="J71" s="476"/>
      <c r="K71" s="476"/>
      <c r="L71" s="476"/>
      <c r="M71" s="476"/>
      <c r="N71" s="476"/>
      <c r="O71" s="58"/>
      <c r="P71" s="58"/>
      <c r="Q71" s="475" t="s">
        <v>22</v>
      </c>
      <c r="R71" s="475"/>
      <c r="S71" s="476" t="str">
        <f>U12組合せ!$D23</f>
        <v>昭和・戸祭ＳＣ-S</v>
      </c>
      <c r="T71" s="476"/>
      <c r="U71" s="476"/>
      <c r="V71" s="476"/>
      <c r="W71" s="476"/>
      <c r="X71" s="476"/>
      <c r="Y71" s="476"/>
      <c r="Z71" s="476"/>
      <c r="AA71" s="476"/>
      <c r="AB71" s="476"/>
      <c r="AC71" s="68"/>
      <c r="AD71" s="55"/>
      <c r="AE71" s="475"/>
      <c r="AF71" s="475"/>
      <c r="AG71" s="453"/>
      <c r="AH71" s="454"/>
      <c r="AI71" s="454"/>
      <c r="AJ71" s="454"/>
      <c r="AK71" s="454"/>
      <c r="AL71" s="454"/>
      <c r="AM71" s="454"/>
      <c r="AN71" s="454"/>
      <c r="AO71" s="454"/>
      <c r="AP71" s="455"/>
      <c r="AQ71" s="56"/>
      <c r="AR71" s="56"/>
      <c r="AS71" s="56"/>
    </row>
    <row r="72" spans="1:45" ht="15" customHeight="1" x14ac:dyDescent="0.4">
      <c r="A72" s="56"/>
      <c r="B72" s="56"/>
      <c r="C72" s="103"/>
      <c r="D72" s="104"/>
      <c r="E72" s="104"/>
      <c r="F72" s="104"/>
      <c r="G72" s="104"/>
      <c r="H72" s="104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104"/>
      <c r="U72" s="57"/>
      <c r="V72" s="104"/>
      <c r="W72" s="57"/>
      <c r="X72" s="104"/>
      <c r="Y72" s="57"/>
      <c r="Z72" s="104"/>
      <c r="AA72" s="57"/>
      <c r="AB72" s="104"/>
      <c r="AC72" s="104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</row>
    <row r="73" spans="1:45" ht="21" customHeight="1" x14ac:dyDescent="0.4">
      <c r="A73" s="56"/>
      <c r="B73" s="56" t="s">
        <v>569</v>
      </c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</row>
    <row r="74" spans="1:45" ht="20.25" customHeight="1" x14ac:dyDescent="0.4">
      <c r="A74" s="56"/>
      <c r="B74" s="219"/>
      <c r="C74" s="456" t="s">
        <v>25</v>
      </c>
      <c r="D74" s="456"/>
      <c r="E74" s="456"/>
      <c r="F74" s="458" t="s">
        <v>26</v>
      </c>
      <c r="G74" s="459"/>
      <c r="H74" s="459"/>
      <c r="I74" s="459"/>
      <c r="J74" s="456" t="s">
        <v>27</v>
      </c>
      <c r="K74" s="457"/>
      <c r="L74" s="457"/>
      <c r="M74" s="457"/>
      <c r="N74" s="457"/>
      <c r="O74" s="457"/>
      <c r="P74" s="457"/>
      <c r="Q74" s="456" t="s">
        <v>540</v>
      </c>
      <c r="R74" s="456"/>
      <c r="S74" s="456"/>
      <c r="T74" s="456"/>
      <c r="U74" s="456"/>
      <c r="V74" s="456"/>
      <c r="W74" s="456"/>
      <c r="X74" s="456" t="s">
        <v>27</v>
      </c>
      <c r="Y74" s="457"/>
      <c r="Z74" s="457"/>
      <c r="AA74" s="457"/>
      <c r="AB74" s="457"/>
      <c r="AC74" s="457"/>
      <c r="AD74" s="457"/>
      <c r="AE74" s="458" t="s">
        <v>26</v>
      </c>
      <c r="AF74" s="459"/>
      <c r="AG74" s="459"/>
      <c r="AH74" s="459"/>
      <c r="AI74" s="456" t="s">
        <v>29</v>
      </c>
      <c r="AJ74" s="456"/>
      <c r="AK74" s="457"/>
      <c r="AL74" s="457"/>
      <c r="AM74" s="457"/>
      <c r="AN74" s="457"/>
      <c r="AO74" s="457"/>
      <c r="AP74" s="457"/>
      <c r="AQ74" s="56"/>
      <c r="AR74" s="56"/>
      <c r="AS74" s="56"/>
    </row>
    <row r="75" spans="1:45" ht="20.100000000000001" customHeight="1" x14ac:dyDescent="0.4">
      <c r="A75" s="56"/>
      <c r="B75" s="472">
        <v>1</v>
      </c>
      <c r="C75" s="449">
        <v>0.375</v>
      </c>
      <c r="D75" s="449"/>
      <c r="E75" s="449"/>
      <c r="F75" s="443"/>
      <c r="G75" s="444"/>
      <c r="H75" s="444"/>
      <c r="I75" s="444"/>
      <c r="J75" s="445" t="str">
        <f>IFERROR(VLOOKUP(AR75,$C$67:$N$71,3,0),"")&amp;IFERROR(VLOOKUP(AR75,$Q$67:$AB$71,3,0),"")&amp;IFERROR(VLOOKUP(AR75,$AE$67:$AP$69,3,0),"")</f>
        <v>宝木キッカーズ</v>
      </c>
      <c r="K75" s="446"/>
      <c r="L75" s="446"/>
      <c r="M75" s="446"/>
      <c r="N75" s="446"/>
      <c r="O75" s="446"/>
      <c r="P75" s="446"/>
      <c r="Q75" s="450" t="str">
        <f>IF(OR(S75="",S76=""),"",S75+S76)</f>
        <v/>
      </c>
      <c r="R75" s="450"/>
      <c r="S75" s="220"/>
      <c r="T75" s="221" t="s">
        <v>30</v>
      </c>
      <c r="U75" s="220"/>
      <c r="V75" s="450" t="str">
        <f>IF(OR(U75="",U76=""),"",U75+U76)</f>
        <v/>
      </c>
      <c r="W75" s="450"/>
      <c r="X75" s="447" t="str">
        <f>IFERROR(VLOOKUP(AS75,$C$67:$N$71,3,0),"")&amp;IFERROR(VLOOKUP(AS75,$Q$67:$AB$71,3,0),"")&amp;IFERROR(VLOOKUP(AS75,$AE$67:$AP$69,3,0),"")</f>
        <v>泉ＦＣ宇都宮</v>
      </c>
      <c r="Y75" s="448"/>
      <c r="Z75" s="448"/>
      <c r="AA75" s="448"/>
      <c r="AB75" s="448"/>
      <c r="AC75" s="448"/>
      <c r="AD75" s="448"/>
      <c r="AE75" s="443"/>
      <c r="AF75" s="444"/>
      <c r="AG75" s="444"/>
      <c r="AH75" s="444"/>
      <c r="AI75" s="521" t="str">
        <f ca="1">DBCS(INDIRECT("U12対戦スケジュール!e"&amp;(ROW()-1)/2+18))</f>
        <v>Ｂ４／Ｂ８／Ｂ８／Ｂ４</v>
      </c>
      <c r="AJ75" s="522"/>
      <c r="AK75" s="522"/>
      <c r="AL75" s="522"/>
      <c r="AM75" s="522"/>
      <c r="AN75" s="522"/>
      <c r="AO75" s="522"/>
      <c r="AP75" s="522"/>
      <c r="AQ75" s="56"/>
      <c r="AR75" s="56" t="s">
        <v>533</v>
      </c>
      <c r="AS75" s="56" t="s">
        <v>538</v>
      </c>
    </row>
    <row r="76" spans="1:45" ht="20.100000000000001" customHeight="1" x14ac:dyDescent="0.4">
      <c r="A76" s="56"/>
      <c r="B76" s="472"/>
      <c r="C76" s="449"/>
      <c r="D76" s="449"/>
      <c r="E76" s="449"/>
      <c r="F76" s="444"/>
      <c r="G76" s="444"/>
      <c r="H76" s="444"/>
      <c r="I76" s="444"/>
      <c r="J76" s="446"/>
      <c r="K76" s="446"/>
      <c r="L76" s="446"/>
      <c r="M76" s="446"/>
      <c r="N76" s="446"/>
      <c r="O76" s="446"/>
      <c r="P76" s="446"/>
      <c r="Q76" s="450"/>
      <c r="R76" s="450"/>
      <c r="S76" s="220"/>
      <c r="T76" s="221" t="s">
        <v>30</v>
      </c>
      <c r="U76" s="220"/>
      <c r="V76" s="450"/>
      <c r="W76" s="450"/>
      <c r="X76" s="448"/>
      <c r="Y76" s="448"/>
      <c r="Z76" s="448"/>
      <c r="AA76" s="448"/>
      <c r="AB76" s="448"/>
      <c r="AC76" s="448"/>
      <c r="AD76" s="448"/>
      <c r="AE76" s="444"/>
      <c r="AF76" s="444"/>
      <c r="AG76" s="444"/>
      <c r="AH76" s="444"/>
      <c r="AI76" s="522"/>
      <c r="AJ76" s="522"/>
      <c r="AK76" s="522"/>
      <c r="AL76" s="522"/>
      <c r="AM76" s="522"/>
      <c r="AN76" s="522"/>
      <c r="AO76" s="522"/>
      <c r="AP76" s="522"/>
      <c r="AQ76" s="56"/>
      <c r="AR76" s="56"/>
      <c r="AS76" s="56"/>
    </row>
    <row r="77" spans="1:45" ht="20.100000000000001" customHeight="1" x14ac:dyDescent="0.4">
      <c r="A77" s="56"/>
      <c r="B77" s="472">
        <v>2</v>
      </c>
      <c r="C77" s="449">
        <v>0.40277777777777773</v>
      </c>
      <c r="D77" s="449">
        <v>0.4375</v>
      </c>
      <c r="E77" s="449"/>
      <c r="F77" s="443"/>
      <c r="G77" s="444"/>
      <c r="H77" s="444"/>
      <c r="I77" s="444"/>
      <c r="J77" s="445" t="str">
        <f t="shared" ref="J77" si="20">IFERROR(VLOOKUP(AR77,$C$67:$N$71,3,0),"")&amp;IFERROR(VLOOKUP(AR77,$Q$67:$AB$71,3,0),"")&amp;IFERROR(VLOOKUP(AR77,$AE$67:$AP$69,3,0),"")</f>
        <v>シャルムグランツＳＣ</v>
      </c>
      <c r="K77" s="446"/>
      <c r="L77" s="446"/>
      <c r="M77" s="446"/>
      <c r="N77" s="446"/>
      <c r="O77" s="446"/>
      <c r="P77" s="446"/>
      <c r="Q77" s="450" t="str">
        <f>IF(OR(S77="",S78=""),"",S77+S78)</f>
        <v/>
      </c>
      <c r="R77" s="450"/>
      <c r="S77" s="220"/>
      <c r="T77" s="221" t="s">
        <v>30</v>
      </c>
      <c r="U77" s="220"/>
      <c r="V77" s="450" t="str">
        <f>IF(OR(U77="",U78=""),"",U77+U78)</f>
        <v/>
      </c>
      <c r="W77" s="450"/>
      <c r="X77" s="447" t="str">
        <f t="shared" ref="X77" si="21">IFERROR(VLOOKUP(AS77,$C$67:$N$71,3,0),"")&amp;IFERROR(VLOOKUP(AS77,$Q$67:$AB$71,3,0),"")&amp;IFERROR(VLOOKUP(AS77,$AE$67:$AP$69,3,0),"")</f>
        <v>FCブロケード・陽東U11</v>
      </c>
      <c r="Y77" s="448"/>
      <c r="Z77" s="448"/>
      <c r="AA77" s="448"/>
      <c r="AB77" s="448"/>
      <c r="AC77" s="448"/>
      <c r="AD77" s="448"/>
      <c r="AE77" s="443"/>
      <c r="AF77" s="444"/>
      <c r="AG77" s="444"/>
      <c r="AH77" s="444"/>
      <c r="AI77" s="521" t="str">
        <f t="shared" ref="AI77" ca="1" si="22">DBCS(INDIRECT("U12対戦スケジュール!e"&amp;(ROW()-1)/2+18))</f>
        <v>Ａ６／Ａ９／Ａ９／Ａ６</v>
      </c>
      <c r="AJ77" s="522"/>
      <c r="AK77" s="522"/>
      <c r="AL77" s="522"/>
      <c r="AM77" s="522"/>
      <c r="AN77" s="522"/>
      <c r="AO77" s="522"/>
      <c r="AP77" s="522"/>
      <c r="AQ77" s="56"/>
      <c r="AR77" s="56" t="s">
        <v>542</v>
      </c>
      <c r="AS77" s="56" t="s">
        <v>535</v>
      </c>
    </row>
    <row r="78" spans="1:45" ht="20.100000000000001" customHeight="1" x14ac:dyDescent="0.4">
      <c r="A78" s="56"/>
      <c r="B78" s="472"/>
      <c r="C78" s="449"/>
      <c r="D78" s="449"/>
      <c r="E78" s="449"/>
      <c r="F78" s="444"/>
      <c r="G78" s="444"/>
      <c r="H78" s="444"/>
      <c r="I78" s="444"/>
      <c r="J78" s="446"/>
      <c r="K78" s="446"/>
      <c r="L78" s="446"/>
      <c r="M78" s="446"/>
      <c r="N78" s="446"/>
      <c r="O78" s="446"/>
      <c r="P78" s="446"/>
      <c r="Q78" s="450"/>
      <c r="R78" s="450"/>
      <c r="S78" s="220"/>
      <c r="T78" s="221" t="s">
        <v>30</v>
      </c>
      <c r="U78" s="220"/>
      <c r="V78" s="450"/>
      <c r="W78" s="450"/>
      <c r="X78" s="448"/>
      <c r="Y78" s="448"/>
      <c r="Z78" s="448"/>
      <c r="AA78" s="448"/>
      <c r="AB78" s="448"/>
      <c r="AC78" s="448"/>
      <c r="AD78" s="448"/>
      <c r="AE78" s="444"/>
      <c r="AF78" s="444"/>
      <c r="AG78" s="444"/>
      <c r="AH78" s="444"/>
      <c r="AI78" s="522"/>
      <c r="AJ78" s="522"/>
      <c r="AK78" s="522"/>
      <c r="AL78" s="522"/>
      <c r="AM78" s="522"/>
      <c r="AN78" s="522"/>
      <c r="AO78" s="522"/>
      <c r="AP78" s="522"/>
      <c r="AQ78" s="56"/>
      <c r="AR78" s="56"/>
      <c r="AS78" s="56"/>
    </row>
    <row r="79" spans="1:45" ht="20.100000000000001" customHeight="1" x14ac:dyDescent="0.4">
      <c r="A79" s="56"/>
      <c r="B79" s="472">
        <v>3</v>
      </c>
      <c r="C79" s="449">
        <v>0.43055555555555558</v>
      </c>
      <c r="D79" s="449"/>
      <c r="E79" s="449"/>
      <c r="F79" s="443"/>
      <c r="G79" s="444"/>
      <c r="H79" s="444"/>
      <c r="I79" s="444"/>
      <c r="J79" s="445" t="str">
        <f t="shared" ref="J79" si="23">IFERROR(VLOOKUP(AR79,$C$67:$N$71,3,0),"")&amp;IFERROR(VLOOKUP(AR79,$Q$67:$AB$71,3,0),"")&amp;IFERROR(VLOOKUP(AR79,$AE$67:$AP$69,3,0),"")</f>
        <v>ブラッドレスＳＳ</v>
      </c>
      <c r="K79" s="446"/>
      <c r="L79" s="446"/>
      <c r="M79" s="446"/>
      <c r="N79" s="446"/>
      <c r="O79" s="446"/>
      <c r="P79" s="446"/>
      <c r="Q79" s="450" t="str">
        <f>IF(OR(S79="",S80=""),"",S79+S80)</f>
        <v/>
      </c>
      <c r="R79" s="450"/>
      <c r="S79" s="220"/>
      <c r="T79" s="221" t="s">
        <v>30</v>
      </c>
      <c r="U79" s="220"/>
      <c r="V79" s="450" t="str">
        <f>IF(OR(U79="",U80=""),"",U79+U80)</f>
        <v/>
      </c>
      <c r="W79" s="450"/>
      <c r="X79" s="447" t="str">
        <f t="shared" ref="X79" si="24">IFERROR(VLOOKUP(AS79,$C$67:$N$71,3,0),"")&amp;IFERROR(VLOOKUP(AS79,$Q$67:$AB$71,3,0),"")&amp;IFERROR(VLOOKUP(AS79,$AE$67:$AP$69,3,0),"")</f>
        <v>岡西ＦＣ</v>
      </c>
      <c r="Y79" s="448"/>
      <c r="Z79" s="448"/>
      <c r="AA79" s="448"/>
      <c r="AB79" s="448"/>
      <c r="AC79" s="448"/>
      <c r="AD79" s="448"/>
      <c r="AE79" s="443"/>
      <c r="AF79" s="444"/>
      <c r="AG79" s="444"/>
      <c r="AH79" s="444"/>
      <c r="AI79" s="521" t="str">
        <f t="shared" ref="AI79" ca="1" si="25">DBCS(INDIRECT("U12対戦スケジュール!e"&amp;(ROW()-1)/2+18))</f>
        <v>Ｂ３／Ｂ４／Ｂ４／Ｂ３</v>
      </c>
      <c r="AJ79" s="522"/>
      <c r="AK79" s="522"/>
      <c r="AL79" s="522"/>
      <c r="AM79" s="522"/>
      <c r="AN79" s="522"/>
      <c r="AO79" s="522"/>
      <c r="AP79" s="522"/>
      <c r="AQ79" s="56"/>
      <c r="AR79" s="56" t="s">
        <v>536</v>
      </c>
      <c r="AS79" s="56" t="s">
        <v>532</v>
      </c>
    </row>
    <row r="80" spans="1:45" ht="20.100000000000001" customHeight="1" x14ac:dyDescent="0.4">
      <c r="A80" s="56"/>
      <c r="B80" s="472"/>
      <c r="C80" s="449"/>
      <c r="D80" s="449"/>
      <c r="E80" s="449"/>
      <c r="F80" s="444"/>
      <c r="G80" s="444"/>
      <c r="H80" s="444"/>
      <c r="I80" s="444"/>
      <c r="J80" s="446"/>
      <c r="K80" s="446"/>
      <c r="L80" s="446"/>
      <c r="M80" s="446"/>
      <c r="N80" s="446"/>
      <c r="O80" s="446"/>
      <c r="P80" s="446"/>
      <c r="Q80" s="450"/>
      <c r="R80" s="450"/>
      <c r="S80" s="220"/>
      <c r="T80" s="221" t="s">
        <v>30</v>
      </c>
      <c r="U80" s="220"/>
      <c r="V80" s="450"/>
      <c r="W80" s="450"/>
      <c r="X80" s="448"/>
      <c r="Y80" s="448"/>
      <c r="Z80" s="448"/>
      <c r="AA80" s="448"/>
      <c r="AB80" s="448"/>
      <c r="AC80" s="448"/>
      <c r="AD80" s="448"/>
      <c r="AE80" s="444"/>
      <c r="AF80" s="444"/>
      <c r="AG80" s="444"/>
      <c r="AH80" s="444"/>
      <c r="AI80" s="522"/>
      <c r="AJ80" s="522"/>
      <c r="AK80" s="522"/>
      <c r="AL80" s="522"/>
      <c r="AM80" s="522"/>
      <c r="AN80" s="522"/>
      <c r="AO80" s="522"/>
      <c r="AP80" s="522"/>
      <c r="AQ80" s="56"/>
      <c r="AR80" s="56"/>
      <c r="AS80" s="56"/>
    </row>
    <row r="81" spans="1:45" ht="20.100000000000001" customHeight="1" x14ac:dyDescent="0.4">
      <c r="A81" s="56"/>
      <c r="B81" s="472">
        <v>4</v>
      </c>
      <c r="C81" s="449">
        <v>0.45833333333333331</v>
      </c>
      <c r="D81" s="449">
        <v>0.4375</v>
      </c>
      <c r="E81" s="449"/>
      <c r="F81" s="443"/>
      <c r="G81" s="444"/>
      <c r="H81" s="444"/>
      <c r="I81" s="444"/>
      <c r="J81" s="445" t="str">
        <f t="shared" ref="J81" si="26">IFERROR(VLOOKUP(AR81,$C$67:$N$71,3,0),"")&amp;IFERROR(VLOOKUP(AR81,$Q$67:$AB$71,3,0),"")&amp;IFERROR(VLOOKUP(AR81,$AE$67:$AP$69,3,0),"")</f>
        <v>昭和・戸祭ＳＣ-O</v>
      </c>
      <c r="K81" s="446"/>
      <c r="L81" s="446"/>
      <c r="M81" s="446"/>
      <c r="N81" s="446"/>
      <c r="O81" s="446"/>
      <c r="P81" s="446"/>
      <c r="Q81" s="450" t="str">
        <f>IF(OR(S81="",S82=""),"",S81+S82)</f>
        <v/>
      </c>
      <c r="R81" s="450"/>
      <c r="S81" s="220"/>
      <c r="T81" s="221" t="s">
        <v>30</v>
      </c>
      <c r="U81" s="220"/>
      <c r="V81" s="450" t="str">
        <f>IF(OR(U81="",U82=""),"",U81+U82)</f>
        <v/>
      </c>
      <c r="W81" s="450"/>
      <c r="X81" s="447" t="str">
        <f t="shared" ref="X81" si="27">IFERROR(VLOOKUP(AS81,$C$67:$N$71,3,0),"")&amp;IFERROR(VLOOKUP(AS81,$Q$67:$AB$71,3,0),"")&amp;IFERROR(VLOOKUP(AS81,$AE$67:$AP$69,3,0),"")</f>
        <v>シャルムグランツＳＣ</v>
      </c>
      <c r="Y81" s="448"/>
      <c r="Z81" s="448"/>
      <c r="AA81" s="448"/>
      <c r="AB81" s="448"/>
      <c r="AC81" s="448"/>
      <c r="AD81" s="448"/>
      <c r="AE81" s="443"/>
      <c r="AF81" s="444"/>
      <c r="AG81" s="444"/>
      <c r="AH81" s="444"/>
      <c r="AI81" s="521" t="str">
        <f t="shared" ref="AI81" ca="1" si="28">DBCS(INDIRECT("U12対戦スケジュール!e"&amp;(ROW()-1)/2+18))</f>
        <v>Ａ８／Ａ１／Ａ１／Ａ８</v>
      </c>
      <c r="AJ81" s="522"/>
      <c r="AK81" s="522"/>
      <c r="AL81" s="522"/>
      <c r="AM81" s="522"/>
      <c r="AN81" s="522"/>
      <c r="AO81" s="522"/>
      <c r="AP81" s="522"/>
      <c r="AQ81" s="56"/>
      <c r="AR81" s="56" t="s">
        <v>541</v>
      </c>
      <c r="AS81" s="56" t="s">
        <v>542</v>
      </c>
    </row>
    <row r="82" spans="1:45" ht="20.100000000000001" customHeight="1" x14ac:dyDescent="0.4">
      <c r="A82" s="56"/>
      <c r="B82" s="472"/>
      <c r="C82" s="449"/>
      <c r="D82" s="449"/>
      <c r="E82" s="449"/>
      <c r="F82" s="444"/>
      <c r="G82" s="444"/>
      <c r="H82" s="444"/>
      <c r="I82" s="444"/>
      <c r="J82" s="446"/>
      <c r="K82" s="446"/>
      <c r="L82" s="446"/>
      <c r="M82" s="446"/>
      <c r="N82" s="446"/>
      <c r="O82" s="446"/>
      <c r="P82" s="446"/>
      <c r="Q82" s="450"/>
      <c r="R82" s="450"/>
      <c r="S82" s="220"/>
      <c r="T82" s="221" t="s">
        <v>30</v>
      </c>
      <c r="U82" s="220"/>
      <c r="V82" s="450"/>
      <c r="W82" s="450"/>
      <c r="X82" s="448"/>
      <c r="Y82" s="448"/>
      <c r="Z82" s="448"/>
      <c r="AA82" s="448"/>
      <c r="AB82" s="448"/>
      <c r="AC82" s="448"/>
      <c r="AD82" s="448"/>
      <c r="AE82" s="444"/>
      <c r="AF82" s="444"/>
      <c r="AG82" s="444"/>
      <c r="AH82" s="444"/>
      <c r="AI82" s="522"/>
      <c r="AJ82" s="522"/>
      <c r="AK82" s="522"/>
      <c r="AL82" s="522"/>
      <c r="AM82" s="522"/>
      <c r="AN82" s="522"/>
      <c r="AO82" s="522"/>
      <c r="AP82" s="522"/>
      <c r="AQ82" s="56"/>
      <c r="AR82" s="56"/>
      <c r="AS82" s="56"/>
    </row>
    <row r="83" spans="1:45" ht="20.100000000000001" customHeight="1" x14ac:dyDescent="0.4">
      <c r="A83" s="56"/>
      <c r="B83" s="472">
        <v>5</v>
      </c>
      <c r="C83" s="449">
        <v>0.4861111111111111</v>
      </c>
      <c r="D83" s="449"/>
      <c r="E83" s="449"/>
      <c r="F83" s="443"/>
      <c r="G83" s="444"/>
      <c r="H83" s="444"/>
      <c r="I83" s="444"/>
      <c r="J83" s="445" t="str">
        <f t="shared" ref="J83" si="29">IFERROR(VLOOKUP(AR83,$C$67:$N$71,3,0),"")&amp;IFERROR(VLOOKUP(AR83,$Q$67:$AB$71,3,0),"")&amp;IFERROR(VLOOKUP(AR83,$AE$67:$AP$69,3,0),"")</f>
        <v>ｕｎｉｏｎｓｃU12</v>
      </c>
      <c r="K83" s="446"/>
      <c r="L83" s="446"/>
      <c r="M83" s="446"/>
      <c r="N83" s="446"/>
      <c r="O83" s="446"/>
      <c r="P83" s="446"/>
      <c r="Q83" s="450" t="str">
        <f>IF(OR(S83="",S84=""),"",S83+S84)</f>
        <v/>
      </c>
      <c r="R83" s="450"/>
      <c r="S83" s="220"/>
      <c r="T83" s="221" t="s">
        <v>30</v>
      </c>
      <c r="U83" s="220"/>
      <c r="V83" s="450" t="str">
        <f>IF(OR(U83="",U84=""),"",U83+U84)</f>
        <v/>
      </c>
      <c r="W83" s="450"/>
      <c r="X83" s="447" t="str">
        <f t="shared" ref="X83" si="30">IFERROR(VLOOKUP(AS83,$C$67:$N$71,3,0),"")&amp;IFERROR(VLOOKUP(AS83,$Q$67:$AB$71,3,0),"")&amp;IFERROR(VLOOKUP(AS83,$AE$67:$AP$69,3,0),"")</f>
        <v>ブラッドレスＳＳ</v>
      </c>
      <c r="Y83" s="448"/>
      <c r="Z83" s="448"/>
      <c r="AA83" s="448"/>
      <c r="AB83" s="448"/>
      <c r="AC83" s="448"/>
      <c r="AD83" s="448"/>
      <c r="AE83" s="443"/>
      <c r="AF83" s="444"/>
      <c r="AG83" s="444"/>
      <c r="AH83" s="444"/>
      <c r="AI83" s="521" t="str">
        <f t="shared" ref="AI83" ca="1" si="31">DBCS(INDIRECT("U12対戦スケジュール!e"&amp;(ROW()-1)/2+18))</f>
        <v>Ｂ８／Ｂ３／Ｂ３／Ｂ８</v>
      </c>
      <c r="AJ83" s="522"/>
      <c r="AK83" s="522"/>
      <c r="AL83" s="522"/>
      <c r="AM83" s="522"/>
      <c r="AN83" s="522"/>
      <c r="AO83" s="522"/>
      <c r="AP83" s="522"/>
      <c r="AQ83" s="56"/>
      <c r="AR83" s="56" t="s">
        <v>539</v>
      </c>
      <c r="AS83" s="56" t="s">
        <v>536</v>
      </c>
    </row>
    <row r="84" spans="1:45" ht="20.100000000000001" customHeight="1" x14ac:dyDescent="0.4">
      <c r="A84" s="56"/>
      <c r="B84" s="472"/>
      <c r="C84" s="449"/>
      <c r="D84" s="449"/>
      <c r="E84" s="449"/>
      <c r="F84" s="444"/>
      <c r="G84" s="444"/>
      <c r="H84" s="444"/>
      <c r="I84" s="444"/>
      <c r="J84" s="446"/>
      <c r="K84" s="446"/>
      <c r="L84" s="446"/>
      <c r="M84" s="446"/>
      <c r="N84" s="446"/>
      <c r="O84" s="446"/>
      <c r="P84" s="446"/>
      <c r="Q84" s="450"/>
      <c r="R84" s="450"/>
      <c r="S84" s="220"/>
      <c r="T84" s="221" t="s">
        <v>30</v>
      </c>
      <c r="U84" s="220"/>
      <c r="V84" s="450"/>
      <c r="W84" s="450"/>
      <c r="X84" s="448"/>
      <c r="Y84" s="448"/>
      <c r="Z84" s="448"/>
      <c r="AA84" s="448"/>
      <c r="AB84" s="448"/>
      <c r="AC84" s="448"/>
      <c r="AD84" s="448"/>
      <c r="AE84" s="444"/>
      <c r="AF84" s="444"/>
      <c r="AG84" s="444"/>
      <c r="AH84" s="444"/>
      <c r="AI84" s="522"/>
      <c r="AJ84" s="522"/>
      <c r="AK84" s="522"/>
      <c r="AL84" s="522"/>
      <c r="AM84" s="522"/>
      <c r="AN84" s="522"/>
      <c r="AO84" s="522"/>
      <c r="AP84" s="522"/>
      <c r="AQ84" s="56"/>
      <c r="AR84" s="56"/>
      <c r="AS84" s="56"/>
    </row>
    <row r="85" spans="1:45" ht="20.100000000000001" customHeight="1" x14ac:dyDescent="0.4">
      <c r="A85" s="56"/>
      <c r="B85" s="472">
        <v>6</v>
      </c>
      <c r="C85" s="449">
        <v>0.51388888888888895</v>
      </c>
      <c r="D85" s="449">
        <v>0.4375</v>
      </c>
      <c r="E85" s="449"/>
      <c r="F85" s="443"/>
      <c r="G85" s="444"/>
      <c r="H85" s="444"/>
      <c r="I85" s="444"/>
      <c r="J85" s="445" t="str">
        <f t="shared" ref="J85" si="32">IFERROR(VLOOKUP(AR85,$C$67:$N$71,3,0),"")&amp;IFERROR(VLOOKUP(AR85,$Q$67:$AB$71,3,0),"")&amp;IFERROR(VLOOKUP(AR85,$AE$67:$AP$69,3,0),"")</f>
        <v>FCブロケード・陽東U11</v>
      </c>
      <c r="K85" s="446"/>
      <c r="L85" s="446"/>
      <c r="M85" s="446"/>
      <c r="N85" s="446"/>
      <c r="O85" s="446"/>
      <c r="P85" s="446"/>
      <c r="Q85" s="450" t="str">
        <f>IF(OR(S85="",S86=""),"",S85+S86)</f>
        <v/>
      </c>
      <c r="R85" s="450"/>
      <c r="S85" s="220"/>
      <c r="T85" s="221" t="s">
        <v>30</v>
      </c>
      <c r="U85" s="220"/>
      <c r="V85" s="450" t="str">
        <f>IF(OR(U85="",U86=""),"",U85+U86)</f>
        <v/>
      </c>
      <c r="W85" s="450"/>
      <c r="X85" s="447" t="str">
        <f t="shared" ref="X85" si="33">IFERROR(VLOOKUP(AS85,$C$67:$N$71,3,0),"")&amp;IFERROR(VLOOKUP(AS85,$Q$67:$AB$71,3,0),"")&amp;IFERROR(VLOOKUP(AS85,$AE$67:$AP$69,3,0),"")</f>
        <v>昭和・戸祭ＳＣ-O</v>
      </c>
      <c r="Y85" s="448"/>
      <c r="Z85" s="448"/>
      <c r="AA85" s="448"/>
      <c r="AB85" s="448"/>
      <c r="AC85" s="448"/>
      <c r="AD85" s="448"/>
      <c r="AE85" s="443"/>
      <c r="AF85" s="444"/>
      <c r="AG85" s="444"/>
      <c r="AH85" s="444"/>
      <c r="AI85" s="521" t="str">
        <f t="shared" ref="AI85" ca="1" si="34">DBCS(INDIRECT("U12対戦スケジュール!e"&amp;(ROW()-1)/2+18))</f>
        <v>Ａ５／Ａ８／Ａ８／Ａ５</v>
      </c>
      <c r="AJ85" s="522"/>
      <c r="AK85" s="522"/>
      <c r="AL85" s="522"/>
      <c r="AM85" s="522"/>
      <c r="AN85" s="522"/>
      <c r="AO85" s="522"/>
      <c r="AP85" s="522"/>
      <c r="AQ85" s="56"/>
      <c r="AR85" s="56" t="s">
        <v>535</v>
      </c>
      <c r="AS85" s="56" t="s">
        <v>541</v>
      </c>
    </row>
    <row r="86" spans="1:45" ht="20.100000000000001" customHeight="1" x14ac:dyDescent="0.4">
      <c r="A86" s="56"/>
      <c r="B86" s="472"/>
      <c r="C86" s="449"/>
      <c r="D86" s="449"/>
      <c r="E86" s="449"/>
      <c r="F86" s="444"/>
      <c r="G86" s="444"/>
      <c r="H86" s="444"/>
      <c r="I86" s="444"/>
      <c r="J86" s="446"/>
      <c r="K86" s="446"/>
      <c r="L86" s="446"/>
      <c r="M86" s="446"/>
      <c r="N86" s="446"/>
      <c r="O86" s="446"/>
      <c r="P86" s="446"/>
      <c r="Q86" s="450"/>
      <c r="R86" s="450"/>
      <c r="S86" s="220"/>
      <c r="T86" s="221" t="s">
        <v>30</v>
      </c>
      <c r="U86" s="220"/>
      <c r="V86" s="450"/>
      <c r="W86" s="450"/>
      <c r="X86" s="448"/>
      <c r="Y86" s="448"/>
      <c r="Z86" s="448"/>
      <c r="AA86" s="448"/>
      <c r="AB86" s="448"/>
      <c r="AC86" s="448"/>
      <c r="AD86" s="448"/>
      <c r="AE86" s="444"/>
      <c r="AF86" s="444"/>
      <c r="AG86" s="444"/>
      <c r="AH86" s="444"/>
      <c r="AI86" s="522"/>
      <c r="AJ86" s="522"/>
      <c r="AK86" s="522"/>
      <c r="AL86" s="522"/>
      <c r="AM86" s="522"/>
      <c r="AN86" s="522"/>
      <c r="AO86" s="522"/>
      <c r="AP86" s="522"/>
      <c r="AQ86" s="56"/>
      <c r="AR86" s="56"/>
      <c r="AS86" s="56"/>
    </row>
    <row r="87" spans="1:45" ht="20.100000000000001" hidden="1" customHeight="1" x14ac:dyDescent="0.4">
      <c r="A87" s="56"/>
      <c r="B87" s="472">
        <v>7</v>
      </c>
      <c r="C87" s="449">
        <v>0.54166666666666663</v>
      </c>
      <c r="D87" s="449">
        <v>0.4375</v>
      </c>
      <c r="E87" s="449"/>
      <c r="F87" s="443"/>
      <c r="G87" s="444"/>
      <c r="H87" s="444"/>
      <c r="I87" s="444"/>
      <c r="J87" s="445"/>
      <c r="K87" s="446"/>
      <c r="L87" s="446"/>
      <c r="M87" s="446"/>
      <c r="N87" s="446"/>
      <c r="O87" s="446"/>
      <c r="P87" s="446"/>
      <c r="Q87" s="450" t="str">
        <f>IF(OR(S87="",S88=""),"",S87+S88)</f>
        <v/>
      </c>
      <c r="R87" s="450"/>
      <c r="S87" s="220"/>
      <c r="T87" s="221" t="s">
        <v>30</v>
      </c>
      <c r="U87" s="220"/>
      <c r="V87" s="450" t="str">
        <f>IF(OR(U87="",U88=""),"",U87+U88)</f>
        <v/>
      </c>
      <c r="W87" s="450"/>
      <c r="X87" s="447"/>
      <c r="Y87" s="448"/>
      <c r="Z87" s="448"/>
      <c r="AA87" s="448"/>
      <c r="AB87" s="448"/>
      <c r="AC87" s="448"/>
      <c r="AD87" s="448"/>
      <c r="AE87" s="443"/>
      <c r="AF87" s="444"/>
      <c r="AG87" s="444"/>
      <c r="AH87" s="444"/>
      <c r="AI87" s="521"/>
      <c r="AJ87" s="522"/>
      <c r="AK87" s="522"/>
      <c r="AL87" s="522"/>
      <c r="AM87" s="522"/>
      <c r="AN87" s="522"/>
      <c r="AO87" s="522"/>
      <c r="AP87" s="522"/>
      <c r="AQ87" s="56"/>
      <c r="AR87" s="56"/>
      <c r="AS87" s="56"/>
    </row>
    <row r="88" spans="1:45" ht="20.100000000000001" hidden="1" customHeight="1" x14ac:dyDescent="0.4">
      <c r="A88" s="56"/>
      <c r="B88" s="472"/>
      <c r="C88" s="449"/>
      <c r="D88" s="449"/>
      <c r="E88" s="449"/>
      <c r="F88" s="444"/>
      <c r="G88" s="444"/>
      <c r="H88" s="444"/>
      <c r="I88" s="444"/>
      <c r="J88" s="446"/>
      <c r="K88" s="446"/>
      <c r="L88" s="446"/>
      <c r="M88" s="446"/>
      <c r="N88" s="446"/>
      <c r="O88" s="446"/>
      <c r="P88" s="446"/>
      <c r="Q88" s="450"/>
      <c r="R88" s="450"/>
      <c r="S88" s="220"/>
      <c r="T88" s="221" t="s">
        <v>30</v>
      </c>
      <c r="U88" s="220"/>
      <c r="V88" s="450"/>
      <c r="W88" s="450"/>
      <c r="X88" s="448"/>
      <c r="Y88" s="448"/>
      <c r="Z88" s="448"/>
      <c r="AA88" s="448"/>
      <c r="AB88" s="448"/>
      <c r="AC88" s="448"/>
      <c r="AD88" s="448"/>
      <c r="AE88" s="444"/>
      <c r="AF88" s="444"/>
      <c r="AG88" s="444"/>
      <c r="AH88" s="444"/>
      <c r="AI88" s="522"/>
      <c r="AJ88" s="522"/>
      <c r="AK88" s="522"/>
      <c r="AL88" s="522"/>
      <c r="AM88" s="522"/>
      <c r="AN88" s="522"/>
      <c r="AO88" s="522"/>
      <c r="AP88" s="522"/>
      <c r="AQ88" s="56"/>
      <c r="AR88" s="56"/>
      <c r="AS88" s="56"/>
    </row>
    <row r="89" spans="1:45" ht="15.75" customHeight="1" x14ac:dyDescent="0.4">
      <c r="A89" s="58"/>
      <c r="B89" s="59"/>
      <c r="C89" s="60"/>
      <c r="D89" s="60"/>
      <c r="E89" s="60"/>
      <c r="F89" s="59"/>
      <c r="G89" s="59"/>
      <c r="H89" s="59"/>
      <c r="I89" s="59"/>
      <c r="J89" s="59"/>
      <c r="K89" s="61"/>
      <c r="L89" s="61"/>
      <c r="M89" s="62"/>
      <c r="N89" s="63"/>
      <c r="O89" s="62"/>
      <c r="P89" s="61"/>
      <c r="Q89" s="61"/>
      <c r="R89" s="59"/>
      <c r="S89" s="59"/>
      <c r="T89" s="59"/>
      <c r="U89" s="59"/>
      <c r="V89" s="59"/>
      <c r="W89" s="66"/>
      <c r="X89" s="66"/>
      <c r="Y89" s="66"/>
      <c r="Z89" s="66"/>
      <c r="AA89" s="66"/>
      <c r="AB89" s="66"/>
      <c r="AC89" s="58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</row>
    <row r="90" spans="1:45" ht="20.25" customHeight="1" x14ac:dyDescent="0.4">
      <c r="A90" s="56"/>
      <c r="B90" s="56"/>
      <c r="C90" s="56"/>
      <c r="D90" s="477" t="s">
        <v>31</v>
      </c>
      <c r="E90" s="477"/>
      <c r="F90" s="477"/>
      <c r="G90" s="477"/>
      <c r="H90" s="477"/>
      <c r="I90" s="477"/>
      <c r="J90" s="477" t="s">
        <v>27</v>
      </c>
      <c r="K90" s="477"/>
      <c r="L90" s="477"/>
      <c r="M90" s="477"/>
      <c r="N90" s="477"/>
      <c r="O90" s="477"/>
      <c r="P90" s="477"/>
      <c r="Q90" s="477"/>
      <c r="R90" s="478" t="s">
        <v>32</v>
      </c>
      <c r="S90" s="478"/>
      <c r="T90" s="478"/>
      <c r="U90" s="478"/>
      <c r="V90" s="478"/>
      <c r="W90" s="478"/>
      <c r="X90" s="478"/>
      <c r="Y90" s="478"/>
      <c r="Z90" s="478"/>
      <c r="AA90" s="479" t="s">
        <v>33</v>
      </c>
      <c r="AB90" s="479"/>
      <c r="AC90" s="479"/>
      <c r="AD90" s="479" t="s">
        <v>34</v>
      </c>
      <c r="AE90" s="479"/>
      <c r="AF90" s="479"/>
      <c r="AG90" s="479"/>
      <c r="AH90" s="479"/>
      <c r="AI90" s="479"/>
      <c r="AJ90" s="479"/>
      <c r="AK90" s="479"/>
      <c r="AL90" s="479"/>
      <c r="AM90" s="479"/>
      <c r="AN90" s="56"/>
      <c r="AO90" s="56"/>
      <c r="AP90" s="56"/>
      <c r="AQ90" s="56"/>
      <c r="AR90" s="56"/>
      <c r="AS90" s="56"/>
    </row>
    <row r="91" spans="1:45" ht="30" customHeight="1" x14ac:dyDescent="0.4">
      <c r="A91" s="56"/>
      <c r="B91" s="56"/>
      <c r="C91" s="56"/>
      <c r="D91" s="519" t="s">
        <v>572</v>
      </c>
      <c r="E91" s="519"/>
      <c r="F91" s="519"/>
      <c r="G91" s="519"/>
      <c r="H91" s="519"/>
      <c r="I91" s="519"/>
      <c r="J91" s="519"/>
      <c r="K91" s="519"/>
      <c r="L91" s="519"/>
      <c r="M91" s="519"/>
      <c r="N91" s="519"/>
      <c r="O91" s="519"/>
      <c r="P91" s="519"/>
      <c r="Q91" s="519"/>
      <c r="R91" s="481"/>
      <c r="S91" s="481"/>
      <c r="T91" s="481"/>
      <c r="U91" s="481"/>
      <c r="V91" s="481"/>
      <c r="W91" s="481"/>
      <c r="X91" s="481"/>
      <c r="Y91" s="481"/>
      <c r="Z91" s="481"/>
      <c r="AA91" s="481"/>
      <c r="AB91" s="481"/>
      <c r="AC91" s="481"/>
      <c r="AD91" s="523"/>
      <c r="AE91" s="523"/>
      <c r="AF91" s="523"/>
      <c r="AG91" s="523"/>
      <c r="AH91" s="523"/>
      <c r="AI91" s="523"/>
      <c r="AJ91" s="523"/>
      <c r="AK91" s="523"/>
      <c r="AL91" s="523"/>
      <c r="AM91" s="523"/>
      <c r="AN91" s="56"/>
      <c r="AO91" s="56"/>
      <c r="AP91" s="56"/>
      <c r="AQ91" s="56"/>
      <c r="AR91" s="56"/>
      <c r="AS91" s="56"/>
    </row>
    <row r="92" spans="1:45" ht="30" customHeight="1" x14ac:dyDescent="0.4">
      <c r="A92" s="56"/>
      <c r="B92" s="56"/>
      <c r="C92" s="56"/>
      <c r="D92" s="477" t="s">
        <v>35</v>
      </c>
      <c r="E92" s="477"/>
      <c r="F92" s="477"/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77"/>
      <c r="R92" s="478"/>
      <c r="S92" s="478"/>
      <c r="T92" s="478"/>
      <c r="U92" s="478"/>
      <c r="V92" s="478"/>
      <c r="W92" s="478"/>
      <c r="X92" s="478"/>
      <c r="Y92" s="478"/>
      <c r="Z92" s="478"/>
      <c r="AA92" s="478"/>
      <c r="AB92" s="478"/>
      <c r="AC92" s="478"/>
      <c r="AD92" s="480"/>
      <c r="AE92" s="480"/>
      <c r="AF92" s="480"/>
      <c r="AG92" s="480"/>
      <c r="AH92" s="480"/>
      <c r="AI92" s="480"/>
      <c r="AJ92" s="480"/>
      <c r="AK92" s="480"/>
      <c r="AL92" s="480"/>
      <c r="AM92" s="480"/>
      <c r="AN92" s="56"/>
      <c r="AO92" s="56"/>
      <c r="AP92" s="56"/>
      <c r="AQ92" s="56"/>
      <c r="AR92" s="56"/>
      <c r="AS92" s="56"/>
    </row>
    <row r="93" spans="1:45" ht="30" customHeight="1" x14ac:dyDescent="0.4">
      <c r="A93" s="56"/>
      <c r="B93" s="56"/>
      <c r="C93" s="56"/>
      <c r="D93" s="477" t="s">
        <v>35</v>
      </c>
      <c r="E93" s="477"/>
      <c r="F93" s="477"/>
      <c r="G93" s="477"/>
      <c r="H93" s="477"/>
      <c r="I93" s="477"/>
      <c r="J93" s="477"/>
      <c r="K93" s="477"/>
      <c r="L93" s="477"/>
      <c r="M93" s="477"/>
      <c r="N93" s="477"/>
      <c r="O93" s="477"/>
      <c r="P93" s="477"/>
      <c r="Q93" s="477"/>
      <c r="R93" s="478"/>
      <c r="S93" s="478"/>
      <c r="T93" s="478"/>
      <c r="U93" s="478"/>
      <c r="V93" s="478"/>
      <c r="W93" s="478"/>
      <c r="X93" s="478"/>
      <c r="Y93" s="478"/>
      <c r="Z93" s="478"/>
      <c r="AA93" s="479"/>
      <c r="AB93" s="479"/>
      <c r="AC93" s="479"/>
      <c r="AD93" s="480"/>
      <c r="AE93" s="480"/>
      <c r="AF93" s="480"/>
      <c r="AG93" s="480"/>
      <c r="AH93" s="480"/>
      <c r="AI93" s="480"/>
      <c r="AJ93" s="480"/>
      <c r="AK93" s="480"/>
      <c r="AL93" s="480"/>
      <c r="AM93" s="480"/>
      <c r="AN93" s="56"/>
      <c r="AO93" s="56"/>
      <c r="AP93" s="56"/>
      <c r="AQ93" s="56"/>
      <c r="AR93" s="56"/>
      <c r="AS93" s="56"/>
    </row>
    <row r="94" spans="1:45" ht="14.25" customHeight="1" x14ac:dyDescent="0.4">
      <c r="A94" s="451" t="s">
        <v>551</v>
      </c>
      <c r="B94" s="451"/>
      <c r="C94" s="451"/>
      <c r="D94" s="451"/>
      <c r="E94" s="451"/>
      <c r="F94" s="451"/>
      <c r="G94" s="451"/>
      <c r="H94" s="451"/>
      <c r="I94" s="451"/>
      <c r="J94" s="451"/>
      <c r="K94" s="451"/>
      <c r="L94" s="451"/>
      <c r="M94" s="451"/>
      <c r="N94" s="451"/>
      <c r="O94" s="451"/>
      <c r="P94" s="451"/>
      <c r="Q94" s="451"/>
      <c r="R94" s="451"/>
      <c r="S94" s="451"/>
      <c r="T94" s="451"/>
      <c r="U94" s="451"/>
      <c r="V94" s="451"/>
      <c r="W94" s="451"/>
      <c r="X94" s="451"/>
      <c r="Y94" s="451"/>
      <c r="Z94" s="451"/>
      <c r="AA94" s="451"/>
      <c r="AB94" s="451"/>
      <c r="AC94" s="451"/>
      <c r="AD94" s="451"/>
      <c r="AE94" s="451"/>
      <c r="AF94" s="451"/>
      <c r="AG94" s="451"/>
      <c r="AH94" s="451"/>
      <c r="AI94" s="451"/>
      <c r="AJ94" s="451"/>
      <c r="AK94" s="451"/>
      <c r="AL94" s="451"/>
      <c r="AM94" s="451"/>
      <c r="AN94" s="451"/>
      <c r="AO94" s="451"/>
      <c r="AP94" s="451"/>
      <c r="AQ94" s="451"/>
      <c r="AR94" s="56"/>
      <c r="AS94" s="56"/>
    </row>
    <row r="95" spans="1:45" ht="14.25" customHeight="1" x14ac:dyDescent="0.4">
      <c r="A95" s="451"/>
      <c r="B95" s="451"/>
      <c r="C95" s="451"/>
      <c r="D95" s="451"/>
      <c r="E95" s="451"/>
      <c r="F95" s="451"/>
      <c r="G95" s="451"/>
      <c r="H95" s="451"/>
      <c r="I95" s="451"/>
      <c r="J95" s="451"/>
      <c r="K95" s="451"/>
      <c r="L95" s="451"/>
      <c r="M95" s="451"/>
      <c r="N95" s="451"/>
      <c r="O95" s="451"/>
      <c r="P95" s="451"/>
      <c r="Q95" s="451"/>
      <c r="R95" s="451"/>
      <c r="S95" s="451"/>
      <c r="T95" s="451"/>
      <c r="U95" s="451"/>
      <c r="V95" s="451"/>
      <c r="W95" s="451"/>
      <c r="X95" s="451"/>
      <c r="Y95" s="451"/>
      <c r="Z95" s="451"/>
      <c r="AA95" s="451"/>
      <c r="AB95" s="451"/>
      <c r="AC95" s="451"/>
      <c r="AD95" s="451"/>
      <c r="AE95" s="451"/>
      <c r="AF95" s="451"/>
      <c r="AG95" s="451"/>
      <c r="AH95" s="451"/>
      <c r="AI95" s="451"/>
      <c r="AJ95" s="451"/>
      <c r="AK95" s="451"/>
      <c r="AL95" s="451"/>
      <c r="AM95" s="451"/>
      <c r="AN95" s="451"/>
      <c r="AO95" s="451"/>
      <c r="AP95" s="451"/>
      <c r="AQ95" s="451"/>
      <c r="AR95" s="56"/>
      <c r="AS95" s="56"/>
    </row>
    <row r="96" spans="1:45" ht="27.75" customHeight="1" x14ac:dyDescent="0.4">
      <c r="A96" s="56"/>
      <c r="B96" s="56"/>
      <c r="C96" s="460" t="s">
        <v>8</v>
      </c>
      <c r="D96" s="460"/>
      <c r="E96" s="460"/>
      <c r="F96" s="460"/>
      <c r="G96" s="461" t="str">
        <f>U12対戦スケジュール!D75</f>
        <v>平出サッカー場 Ｂ</v>
      </c>
      <c r="H96" s="462"/>
      <c r="I96" s="462"/>
      <c r="J96" s="462"/>
      <c r="K96" s="462"/>
      <c r="L96" s="462"/>
      <c r="M96" s="462"/>
      <c r="N96" s="462"/>
      <c r="O96" s="462"/>
      <c r="P96" s="460" t="s">
        <v>0</v>
      </c>
      <c r="Q96" s="460"/>
      <c r="R96" s="460"/>
      <c r="S96" s="460"/>
      <c r="T96" s="482" t="str">
        <f>U12対戦スケジュール!D76</f>
        <v>泉ＦＣ宇都宮</v>
      </c>
      <c r="U96" s="483"/>
      <c r="V96" s="483"/>
      <c r="W96" s="483"/>
      <c r="X96" s="483"/>
      <c r="Y96" s="483"/>
      <c r="Z96" s="483"/>
      <c r="AA96" s="483"/>
      <c r="AB96" s="483"/>
      <c r="AC96" s="460" t="s">
        <v>9</v>
      </c>
      <c r="AD96" s="460"/>
      <c r="AE96" s="460"/>
      <c r="AF96" s="460"/>
      <c r="AG96" s="484">
        <f>U12組合せ!$B44</f>
        <v>43752</v>
      </c>
      <c r="AH96" s="485"/>
      <c r="AI96" s="485"/>
      <c r="AJ96" s="485"/>
      <c r="AK96" s="485"/>
      <c r="AL96" s="485"/>
      <c r="AM96" s="488" t="str">
        <f>"（"&amp;TEXT(AG96,"aaa")&amp;"）"</f>
        <v>（月）</v>
      </c>
      <c r="AN96" s="488"/>
      <c r="AO96" s="489"/>
      <c r="AP96" s="56"/>
      <c r="AQ96" s="56"/>
      <c r="AR96" s="56"/>
      <c r="AS96" s="56"/>
    </row>
    <row r="97" spans="1:45" ht="15" customHeight="1" x14ac:dyDescent="0.4">
      <c r="A97" s="56"/>
      <c r="B97" s="56"/>
      <c r="C97" s="56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64"/>
      <c r="X97" s="64"/>
      <c r="Y97" s="64"/>
      <c r="Z97" s="64"/>
      <c r="AA97" s="64"/>
      <c r="AB97" s="64"/>
      <c r="AC97" s="64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</row>
    <row r="98" spans="1:45" ht="18" customHeight="1" x14ac:dyDescent="0.4">
      <c r="A98" s="56"/>
      <c r="B98" s="56"/>
      <c r="C98" s="475" t="s">
        <v>10</v>
      </c>
      <c r="D98" s="475"/>
      <c r="E98" s="476" t="str">
        <f>U12組合せ!$D14</f>
        <v>岡西ＦＣ</v>
      </c>
      <c r="F98" s="476"/>
      <c r="G98" s="476"/>
      <c r="H98" s="476"/>
      <c r="I98" s="476"/>
      <c r="J98" s="476"/>
      <c r="K98" s="476"/>
      <c r="L98" s="476"/>
      <c r="M98" s="476"/>
      <c r="N98" s="476"/>
      <c r="O98" s="58"/>
      <c r="P98" s="58"/>
      <c r="Q98" s="475" t="s">
        <v>11</v>
      </c>
      <c r="R98" s="475"/>
      <c r="S98" s="476" t="str">
        <f>U12組合せ!$D19</f>
        <v>宝木キッカーズ</v>
      </c>
      <c r="T98" s="476"/>
      <c r="U98" s="476"/>
      <c r="V98" s="476"/>
      <c r="W98" s="476"/>
      <c r="X98" s="476"/>
      <c r="Y98" s="476"/>
      <c r="Z98" s="476"/>
      <c r="AA98" s="476"/>
      <c r="AB98" s="476"/>
      <c r="AC98" s="68"/>
      <c r="AD98" s="55"/>
      <c r="AE98" s="514" t="s">
        <v>12</v>
      </c>
      <c r="AF98" s="514"/>
      <c r="AG98" s="511" t="str">
        <f>U12組合せ!F16</f>
        <v>昭和・戸祭ＳＣ-O</v>
      </c>
      <c r="AH98" s="476"/>
      <c r="AI98" s="476"/>
      <c r="AJ98" s="476"/>
      <c r="AK98" s="476"/>
      <c r="AL98" s="476"/>
      <c r="AM98" s="476"/>
      <c r="AN98" s="476"/>
      <c r="AO98" s="476"/>
      <c r="AP98" s="476"/>
      <c r="AQ98" s="56"/>
      <c r="AR98" s="56"/>
      <c r="AS98" s="56"/>
    </row>
    <row r="99" spans="1:45" ht="18" customHeight="1" x14ac:dyDescent="0.4">
      <c r="A99" s="56"/>
      <c r="B99" s="56"/>
      <c r="C99" s="475" t="s">
        <v>13</v>
      </c>
      <c r="D99" s="475"/>
      <c r="E99" s="476" t="str">
        <f>U12組合せ!$D15</f>
        <v>国本ＪＳＣ</v>
      </c>
      <c r="F99" s="476"/>
      <c r="G99" s="476"/>
      <c r="H99" s="476"/>
      <c r="I99" s="476"/>
      <c r="J99" s="476"/>
      <c r="K99" s="476"/>
      <c r="L99" s="476"/>
      <c r="M99" s="476"/>
      <c r="N99" s="476"/>
      <c r="O99" s="58"/>
      <c r="P99" s="58"/>
      <c r="Q99" s="475" t="s">
        <v>14</v>
      </c>
      <c r="R99" s="475"/>
      <c r="S99" s="476" t="str">
        <f>U12組合せ!$D20</f>
        <v>サウス宇都宮ＳＣ</v>
      </c>
      <c r="T99" s="476"/>
      <c r="U99" s="476"/>
      <c r="V99" s="476"/>
      <c r="W99" s="476"/>
      <c r="X99" s="476"/>
      <c r="Y99" s="476"/>
      <c r="Z99" s="476"/>
      <c r="AA99" s="476"/>
      <c r="AB99" s="476"/>
      <c r="AC99" s="68"/>
      <c r="AD99" s="55"/>
      <c r="AE99" s="514" t="s">
        <v>36</v>
      </c>
      <c r="AF99" s="514"/>
      <c r="AG99" s="511" t="str">
        <f>U12組合せ!F18</f>
        <v>ウエストフットコム</v>
      </c>
      <c r="AH99" s="476"/>
      <c r="AI99" s="476"/>
      <c r="AJ99" s="476"/>
      <c r="AK99" s="476"/>
      <c r="AL99" s="476"/>
      <c r="AM99" s="476"/>
      <c r="AN99" s="476"/>
      <c r="AO99" s="476"/>
      <c r="AP99" s="476"/>
      <c r="AQ99" s="56"/>
      <c r="AR99" s="56"/>
      <c r="AS99" s="56"/>
    </row>
    <row r="100" spans="1:45" ht="18" customHeight="1" x14ac:dyDescent="0.4">
      <c r="A100" s="56"/>
      <c r="B100" s="56"/>
      <c r="C100" s="475" t="s">
        <v>15</v>
      </c>
      <c r="D100" s="475"/>
      <c r="E100" s="476" t="str">
        <f>U12組合せ!$D16</f>
        <v>カテット白沢U11</v>
      </c>
      <c r="F100" s="476"/>
      <c r="G100" s="476"/>
      <c r="H100" s="476"/>
      <c r="I100" s="476"/>
      <c r="J100" s="476"/>
      <c r="K100" s="476"/>
      <c r="L100" s="476"/>
      <c r="M100" s="476"/>
      <c r="N100" s="476"/>
      <c r="O100" s="58"/>
      <c r="P100" s="58"/>
      <c r="Q100" s="475" t="s">
        <v>16</v>
      </c>
      <c r="R100" s="475"/>
      <c r="S100" s="476" t="str">
        <f>U12組合せ!$D21</f>
        <v>ブラッドレスＳＳ</v>
      </c>
      <c r="T100" s="476"/>
      <c r="U100" s="476"/>
      <c r="V100" s="476"/>
      <c r="W100" s="476"/>
      <c r="X100" s="476"/>
      <c r="Y100" s="476"/>
      <c r="Z100" s="476"/>
      <c r="AA100" s="476"/>
      <c r="AB100" s="476"/>
      <c r="AC100" s="68"/>
      <c r="AD100" s="55"/>
      <c r="AE100" s="514" t="s">
        <v>20</v>
      </c>
      <c r="AF100" s="514"/>
      <c r="AG100" s="511" t="str">
        <f>U12組合せ!F20</f>
        <v>ともぞうＳＣ</v>
      </c>
      <c r="AH100" s="476"/>
      <c r="AI100" s="476"/>
      <c r="AJ100" s="476"/>
      <c r="AK100" s="476"/>
      <c r="AL100" s="476"/>
      <c r="AM100" s="476"/>
      <c r="AN100" s="476"/>
      <c r="AO100" s="476"/>
      <c r="AP100" s="476"/>
      <c r="AQ100" s="56"/>
      <c r="AR100" s="56"/>
      <c r="AS100" s="56"/>
    </row>
    <row r="101" spans="1:45" ht="18" customHeight="1" x14ac:dyDescent="0.4">
      <c r="A101" s="56"/>
      <c r="B101" s="57"/>
      <c r="C101" s="475" t="s">
        <v>18</v>
      </c>
      <c r="D101" s="475"/>
      <c r="E101" s="476" t="str">
        <f>U12組合せ!$D17</f>
        <v>ＦＣアリーバ</v>
      </c>
      <c r="F101" s="476"/>
      <c r="G101" s="476"/>
      <c r="H101" s="476"/>
      <c r="I101" s="476"/>
      <c r="J101" s="476"/>
      <c r="K101" s="476"/>
      <c r="L101" s="476"/>
      <c r="M101" s="476"/>
      <c r="N101" s="476"/>
      <c r="O101" s="58"/>
      <c r="P101" s="58"/>
      <c r="Q101" s="475" t="s">
        <v>19</v>
      </c>
      <c r="R101" s="475"/>
      <c r="S101" s="476" t="str">
        <f>U12組合せ!$D22</f>
        <v>泉ＦＣ宇都宮</v>
      </c>
      <c r="T101" s="476"/>
      <c r="U101" s="476"/>
      <c r="V101" s="476"/>
      <c r="W101" s="476"/>
      <c r="X101" s="476"/>
      <c r="Y101" s="476"/>
      <c r="Z101" s="476"/>
      <c r="AA101" s="476"/>
      <c r="AB101" s="476"/>
      <c r="AC101" s="68"/>
      <c r="AD101" s="58"/>
      <c r="AE101" s="475"/>
      <c r="AF101" s="475"/>
      <c r="AG101" s="511"/>
      <c r="AH101" s="476"/>
      <c r="AI101" s="476"/>
      <c r="AJ101" s="476"/>
      <c r="AK101" s="476"/>
      <c r="AL101" s="476"/>
      <c r="AM101" s="476"/>
      <c r="AN101" s="476"/>
      <c r="AO101" s="476"/>
      <c r="AP101" s="476"/>
      <c r="AQ101" s="56"/>
      <c r="AR101" s="56"/>
      <c r="AS101" s="56"/>
    </row>
    <row r="102" spans="1:45" ht="18" customHeight="1" x14ac:dyDescent="0.4">
      <c r="A102" s="56"/>
      <c r="B102" s="56"/>
      <c r="C102" s="475" t="s">
        <v>21</v>
      </c>
      <c r="D102" s="475"/>
      <c r="E102" s="476" t="str">
        <f>U12組合せ!$D18</f>
        <v>ｕｎｉｏｎｓｃU12</v>
      </c>
      <c r="F102" s="476"/>
      <c r="G102" s="476"/>
      <c r="H102" s="476"/>
      <c r="I102" s="476"/>
      <c r="J102" s="476"/>
      <c r="K102" s="476"/>
      <c r="L102" s="476"/>
      <c r="M102" s="476"/>
      <c r="N102" s="476"/>
      <c r="O102" s="58"/>
      <c r="P102" s="58"/>
      <c r="Q102" s="475" t="s">
        <v>22</v>
      </c>
      <c r="R102" s="475"/>
      <c r="S102" s="476" t="str">
        <f>U12組合せ!$D23</f>
        <v>昭和・戸祭ＳＣ-S</v>
      </c>
      <c r="T102" s="476"/>
      <c r="U102" s="476"/>
      <c r="V102" s="476"/>
      <c r="W102" s="476"/>
      <c r="X102" s="476"/>
      <c r="Y102" s="476"/>
      <c r="Z102" s="476"/>
      <c r="AA102" s="476"/>
      <c r="AB102" s="476"/>
      <c r="AC102" s="68"/>
      <c r="AD102" s="55"/>
      <c r="AE102" s="475"/>
      <c r="AF102" s="475"/>
      <c r="AG102" s="453"/>
      <c r="AH102" s="454"/>
      <c r="AI102" s="454"/>
      <c r="AJ102" s="454"/>
      <c r="AK102" s="454"/>
      <c r="AL102" s="454"/>
      <c r="AM102" s="454"/>
      <c r="AN102" s="454"/>
      <c r="AO102" s="454"/>
      <c r="AP102" s="455"/>
      <c r="AQ102" s="56"/>
      <c r="AR102" s="56"/>
      <c r="AS102" s="56"/>
    </row>
    <row r="103" spans="1:45" ht="15" customHeight="1" x14ac:dyDescent="0.4">
      <c r="A103" s="56"/>
      <c r="B103" s="56"/>
      <c r="C103" s="103"/>
      <c r="D103" s="104"/>
      <c r="E103" s="104"/>
      <c r="F103" s="104"/>
      <c r="G103" s="104"/>
      <c r="H103" s="104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104"/>
      <c r="U103" s="57"/>
      <c r="V103" s="104"/>
      <c r="W103" s="57"/>
      <c r="X103" s="104"/>
      <c r="Y103" s="57"/>
      <c r="Z103" s="104"/>
      <c r="AA103" s="57"/>
      <c r="AB103" s="104"/>
      <c r="AC103" s="104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</row>
    <row r="104" spans="1:45" ht="21" customHeight="1" x14ac:dyDescent="0.4">
      <c r="A104" s="56"/>
      <c r="B104" s="56" t="s">
        <v>569</v>
      </c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</row>
    <row r="105" spans="1:45" ht="20.25" customHeight="1" x14ac:dyDescent="0.4">
      <c r="A105" s="56"/>
      <c r="B105" s="219"/>
      <c r="C105" s="456" t="s">
        <v>25</v>
      </c>
      <c r="D105" s="456"/>
      <c r="E105" s="456"/>
      <c r="F105" s="458" t="s">
        <v>26</v>
      </c>
      <c r="G105" s="459"/>
      <c r="H105" s="459"/>
      <c r="I105" s="459"/>
      <c r="J105" s="456" t="s">
        <v>27</v>
      </c>
      <c r="K105" s="457"/>
      <c r="L105" s="457"/>
      <c r="M105" s="457"/>
      <c r="N105" s="457"/>
      <c r="O105" s="457"/>
      <c r="P105" s="457"/>
      <c r="Q105" s="456" t="s">
        <v>540</v>
      </c>
      <c r="R105" s="456"/>
      <c r="S105" s="456"/>
      <c r="T105" s="456"/>
      <c r="U105" s="456"/>
      <c r="V105" s="456"/>
      <c r="W105" s="456"/>
      <c r="X105" s="456" t="s">
        <v>27</v>
      </c>
      <c r="Y105" s="457"/>
      <c r="Z105" s="457"/>
      <c r="AA105" s="457"/>
      <c r="AB105" s="457"/>
      <c r="AC105" s="457"/>
      <c r="AD105" s="457"/>
      <c r="AE105" s="458" t="s">
        <v>26</v>
      </c>
      <c r="AF105" s="459"/>
      <c r="AG105" s="459"/>
      <c r="AH105" s="459"/>
      <c r="AI105" s="456" t="s">
        <v>29</v>
      </c>
      <c r="AJ105" s="456"/>
      <c r="AK105" s="457"/>
      <c r="AL105" s="457"/>
      <c r="AM105" s="457"/>
      <c r="AN105" s="457"/>
      <c r="AO105" s="457"/>
      <c r="AP105" s="457"/>
      <c r="AQ105" s="56"/>
      <c r="AR105" s="56"/>
      <c r="AS105" s="56"/>
    </row>
    <row r="106" spans="1:45" ht="20.100000000000001" customHeight="1" x14ac:dyDescent="0.4">
      <c r="A106" s="56"/>
      <c r="B106" s="472">
        <v>1</v>
      </c>
      <c r="C106" s="449">
        <v>0.375</v>
      </c>
      <c r="D106" s="449"/>
      <c r="E106" s="449"/>
      <c r="F106" s="443"/>
      <c r="G106" s="444"/>
      <c r="H106" s="444"/>
      <c r="I106" s="444"/>
      <c r="J106" s="445" t="str">
        <f>IFERROR(VLOOKUP(AR106,$C$98:$N$102,3,0),"")&amp;IFERROR(VLOOKUP(AR106,$Q$98:$AB$102,3,0),"")&amp;IFERROR(VLOOKUP(AR106,$AE$98:$AP$101,3,0),"")</f>
        <v>カテット白沢U11</v>
      </c>
      <c r="K106" s="446"/>
      <c r="L106" s="446"/>
      <c r="M106" s="446"/>
      <c r="N106" s="446"/>
      <c r="O106" s="446"/>
      <c r="P106" s="446"/>
      <c r="Q106" s="450" t="str">
        <f>IF(OR(S106="",S107=""),"",S106+S107)</f>
        <v/>
      </c>
      <c r="R106" s="450"/>
      <c r="S106" s="220"/>
      <c r="T106" s="221" t="s">
        <v>30</v>
      </c>
      <c r="U106" s="220"/>
      <c r="V106" s="450" t="str">
        <f>IF(OR(U106="",U107=""),"",U106+U107)</f>
        <v/>
      </c>
      <c r="W106" s="450"/>
      <c r="X106" s="447" t="str">
        <f>IFERROR(VLOOKUP(AS106,$C$98:$N$102,3,0),"")&amp;IFERROR(VLOOKUP(AS106,$Q$98:$AB$102,3,0),"")&amp;IFERROR(VLOOKUP(AS106,$AE$98:$AP$101,3,0),"")</f>
        <v>サウス宇都宮ＳＣ</v>
      </c>
      <c r="Y106" s="448"/>
      <c r="Z106" s="448"/>
      <c r="AA106" s="448"/>
      <c r="AB106" s="448"/>
      <c r="AC106" s="448"/>
      <c r="AD106" s="448"/>
      <c r="AE106" s="443"/>
      <c r="AF106" s="444"/>
      <c r="AG106" s="444"/>
      <c r="AH106" s="444"/>
      <c r="AI106" s="450" t="str">
        <f ca="1">DBCS(INDIRECT("U12対戦スケジュール!e"&amp;(ROW()/2+24)))</f>
        <v>Ｂ３／Ｂ５／Ｂ５／Ｂ３</v>
      </c>
      <c r="AJ106" s="444"/>
      <c r="AK106" s="444"/>
      <c r="AL106" s="444"/>
      <c r="AM106" s="444"/>
      <c r="AN106" s="444"/>
      <c r="AO106" s="444"/>
      <c r="AP106" s="444"/>
      <c r="AQ106" s="56"/>
      <c r="AR106" s="56" t="s">
        <v>15</v>
      </c>
      <c r="AS106" s="56" t="s">
        <v>14</v>
      </c>
    </row>
    <row r="107" spans="1:45" ht="20.100000000000001" customHeight="1" x14ac:dyDescent="0.4">
      <c r="A107" s="56"/>
      <c r="B107" s="472"/>
      <c r="C107" s="449"/>
      <c r="D107" s="449"/>
      <c r="E107" s="449"/>
      <c r="F107" s="444"/>
      <c r="G107" s="444"/>
      <c r="H107" s="444"/>
      <c r="I107" s="444"/>
      <c r="J107" s="446"/>
      <c r="K107" s="446"/>
      <c r="L107" s="446"/>
      <c r="M107" s="446"/>
      <c r="N107" s="446"/>
      <c r="O107" s="446"/>
      <c r="P107" s="446"/>
      <c r="Q107" s="450"/>
      <c r="R107" s="450"/>
      <c r="S107" s="220"/>
      <c r="T107" s="221" t="s">
        <v>30</v>
      </c>
      <c r="U107" s="220"/>
      <c r="V107" s="450"/>
      <c r="W107" s="450"/>
      <c r="X107" s="448"/>
      <c r="Y107" s="448"/>
      <c r="Z107" s="448"/>
      <c r="AA107" s="448"/>
      <c r="AB107" s="448"/>
      <c r="AC107" s="448"/>
      <c r="AD107" s="448"/>
      <c r="AE107" s="444"/>
      <c r="AF107" s="444"/>
      <c r="AG107" s="444"/>
      <c r="AH107" s="444"/>
      <c r="AI107" s="444"/>
      <c r="AJ107" s="444"/>
      <c r="AK107" s="444"/>
      <c r="AL107" s="444"/>
      <c r="AM107" s="444"/>
      <c r="AN107" s="444"/>
      <c r="AO107" s="444"/>
      <c r="AP107" s="444"/>
      <c r="AQ107" s="56"/>
      <c r="AR107" s="56"/>
      <c r="AS107" s="56"/>
    </row>
    <row r="108" spans="1:45" ht="20.100000000000001" customHeight="1" x14ac:dyDescent="0.4">
      <c r="A108" s="56"/>
      <c r="B108" s="472">
        <v>2</v>
      </c>
      <c r="C108" s="449">
        <v>0.40277777777777773</v>
      </c>
      <c r="D108" s="449">
        <v>0.4375</v>
      </c>
      <c r="E108" s="449"/>
      <c r="F108" s="443"/>
      <c r="G108" s="444"/>
      <c r="H108" s="444"/>
      <c r="I108" s="444"/>
      <c r="J108" s="445" t="str">
        <f>IFERROR(VLOOKUP(AR108,$C$98:$N$102,3,0),"")&amp;IFERROR(VLOOKUP(AR108,$Q$98:$AB$102,3,0),"")&amp;IFERROR(VLOOKUP(AR108,$AE$98:$AP$101,3,0),"")</f>
        <v>昭和・戸祭ＳＣ-O</v>
      </c>
      <c r="K108" s="446"/>
      <c r="L108" s="446"/>
      <c r="M108" s="446"/>
      <c r="N108" s="446"/>
      <c r="O108" s="446"/>
      <c r="P108" s="446"/>
      <c r="Q108" s="450" t="str">
        <f>IF(OR(S108="",S109=""),"",S108+S109)</f>
        <v/>
      </c>
      <c r="R108" s="450"/>
      <c r="S108" s="220"/>
      <c r="T108" s="221" t="s">
        <v>30</v>
      </c>
      <c r="U108" s="220"/>
      <c r="V108" s="450" t="str">
        <f>IF(OR(U108="",U109=""),"",U108+U109)</f>
        <v/>
      </c>
      <c r="W108" s="450"/>
      <c r="X108" s="447" t="str">
        <f>IFERROR(VLOOKUP(AS108,$C$98:$N$102,3,0),"")&amp;IFERROR(VLOOKUP(AS108,$Q$98:$AB$102,3,0),"")&amp;IFERROR(VLOOKUP(AS108,$AE$98:$AP$101,3,0),"")</f>
        <v>ウエストフットコム</v>
      </c>
      <c r="Y108" s="448"/>
      <c r="Z108" s="448"/>
      <c r="AA108" s="448"/>
      <c r="AB108" s="448"/>
      <c r="AC108" s="448"/>
      <c r="AD108" s="448"/>
      <c r="AE108" s="443"/>
      <c r="AF108" s="444"/>
      <c r="AG108" s="444"/>
      <c r="AH108" s="444"/>
      <c r="AI108" s="450" t="str">
        <f t="shared" ref="AI108" ca="1" si="35">DBCS(INDIRECT("U12対戦スケジュール!e"&amp;(ROW()/2+24)))</f>
        <v>Ａ３／Ａ７／Ａ７／Ａ３</v>
      </c>
      <c r="AJ108" s="444"/>
      <c r="AK108" s="444"/>
      <c r="AL108" s="444"/>
      <c r="AM108" s="444"/>
      <c r="AN108" s="444"/>
      <c r="AO108" s="444"/>
      <c r="AP108" s="444"/>
      <c r="AQ108" s="56"/>
      <c r="AR108" s="56" t="s">
        <v>12</v>
      </c>
      <c r="AS108" s="56" t="s">
        <v>543</v>
      </c>
    </row>
    <row r="109" spans="1:45" ht="20.100000000000001" customHeight="1" x14ac:dyDescent="0.4">
      <c r="A109" s="56"/>
      <c r="B109" s="472"/>
      <c r="C109" s="449"/>
      <c r="D109" s="449"/>
      <c r="E109" s="449"/>
      <c r="F109" s="444"/>
      <c r="G109" s="444"/>
      <c r="H109" s="444"/>
      <c r="I109" s="444"/>
      <c r="J109" s="446"/>
      <c r="K109" s="446"/>
      <c r="L109" s="446"/>
      <c r="M109" s="446"/>
      <c r="N109" s="446"/>
      <c r="O109" s="446"/>
      <c r="P109" s="446"/>
      <c r="Q109" s="450"/>
      <c r="R109" s="450"/>
      <c r="S109" s="220"/>
      <c r="T109" s="221" t="s">
        <v>30</v>
      </c>
      <c r="U109" s="220"/>
      <c r="V109" s="450"/>
      <c r="W109" s="450"/>
      <c r="X109" s="448"/>
      <c r="Y109" s="448"/>
      <c r="Z109" s="448"/>
      <c r="AA109" s="448"/>
      <c r="AB109" s="448"/>
      <c r="AC109" s="448"/>
      <c r="AD109" s="448"/>
      <c r="AE109" s="444"/>
      <c r="AF109" s="444"/>
      <c r="AG109" s="444"/>
      <c r="AH109" s="444"/>
      <c r="AI109" s="444"/>
      <c r="AJ109" s="444"/>
      <c r="AK109" s="444"/>
      <c r="AL109" s="444"/>
      <c r="AM109" s="444"/>
      <c r="AN109" s="444"/>
      <c r="AO109" s="444"/>
      <c r="AP109" s="444"/>
      <c r="AQ109" s="56"/>
      <c r="AR109" s="56"/>
      <c r="AS109" s="56"/>
    </row>
    <row r="110" spans="1:45" ht="20.100000000000001" customHeight="1" x14ac:dyDescent="0.4">
      <c r="A110" s="56"/>
      <c r="B110" s="472">
        <v>3</v>
      </c>
      <c r="C110" s="449">
        <v>0.43055555555555558</v>
      </c>
      <c r="D110" s="449"/>
      <c r="E110" s="449"/>
      <c r="F110" s="443"/>
      <c r="G110" s="444"/>
      <c r="H110" s="444"/>
      <c r="I110" s="444"/>
      <c r="J110" s="445" t="str">
        <f>IFERROR(VLOOKUP(AR110,$C$98:$N$102,3,0),"")&amp;IFERROR(VLOOKUP(AR110,$Q$98:$AB$102,3,0),"")&amp;IFERROR(VLOOKUP(AR110,$AE$98:$AP$101,3,0),"")</f>
        <v>ｕｎｉｏｎｓｃU12</v>
      </c>
      <c r="K110" s="446"/>
      <c r="L110" s="446"/>
      <c r="M110" s="446"/>
      <c r="N110" s="446"/>
      <c r="O110" s="446"/>
      <c r="P110" s="446"/>
      <c r="Q110" s="450" t="str">
        <f>IF(OR(S110="",S111=""),"",S110+S111)</f>
        <v/>
      </c>
      <c r="R110" s="450"/>
      <c r="S110" s="220"/>
      <c r="T110" s="221" t="s">
        <v>30</v>
      </c>
      <c r="U110" s="220"/>
      <c r="V110" s="450" t="str">
        <f>IF(OR(U110="",U111=""),"",U110+U111)</f>
        <v/>
      </c>
      <c r="W110" s="450"/>
      <c r="X110" s="447" t="str">
        <f>IFERROR(VLOOKUP(AS110,$C$98:$N$102,3,0),"")&amp;IFERROR(VLOOKUP(AS110,$Q$98:$AB$102,3,0),"")&amp;IFERROR(VLOOKUP(AS110,$AE$98:$AP$101,3,0),"")</f>
        <v>泉ＦＣ宇都宮</v>
      </c>
      <c r="Y110" s="448"/>
      <c r="Z110" s="448"/>
      <c r="AA110" s="448"/>
      <c r="AB110" s="448"/>
      <c r="AC110" s="448"/>
      <c r="AD110" s="448"/>
      <c r="AE110" s="443"/>
      <c r="AF110" s="444"/>
      <c r="AG110" s="444"/>
      <c r="AH110" s="444"/>
      <c r="AI110" s="450" t="str">
        <f t="shared" ref="AI110" ca="1" si="36">DBCS(INDIRECT("U12対戦スケジュール!e"&amp;(ROW()/2+24)))</f>
        <v>Ｂ７／Ｂ３／Ｂ３／Ｂ７</v>
      </c>
      <c r="AJ110" s="444"/>
      <c r="AK110" s="444"/>
      <c r="AL110" s="444"/>
      <c r="AM110" s="444"/>
      <c r="AN110" s="444"/>
      <c r="AO110" s="444"/>
      <c r="AP110" s="444"/>
      <c r="AQ110" s="56"/>
      <c r="AR110" s="56" t="s">
        <v>21</v>
      </c>
      <c r="AS110" s="56" t="s">
        <v>19</v>
      </c>
    </row>
    <row r="111" spans="1:45" ht="20.100000000000001" customHeight="1" x14ac:dyDescent="0.4">
      <c r="A111" s="56"/>
      <c r="B111" s="472"/>
      <c r="C111" s="449"/>
      <c r="D111" s="449"/>
      <c r="E111" s="449"/>
      <c r="F111" s="444"/>
      <c r="G111" s="444"/>
      <c r="H111" s="444"/>
      <c r="I111" s="444"/>
      <c r="J111" s="446"/>
      <c r="K111" s="446"/>
      <c r="L111" s="446"/>
      <c r="M111" s="446"/>
      <c r="N111" s="446"/>
      <c r="O111" s="446"/>
      <c r="P111" s="446"/>
      <c r="Q111" s="450"/>
      <c r="R111" s="450"/>
      <c r="S111" s="220"/>
      <c r="T111" s="221" t="s">
        <v>30</v>
      </c>
      <c r="U111" s="220"/>
      <c r="V111" s="450"/>
      <c r="W111" s="450"/>
      <c r="X111" s="448"/>
      <c r="Y111" s="448"/>
      <c r="Z111" s="448"/>
      <c r="AA111" s="448"/>
      <c r="AB111" s="448"/>
      <c r="AC111" s="448"/>
      <c r="AD111" s="448"/>
      <c r="AE111" s="444"/>
      <c r="AF111" s="444"/>
      <c r="AG111" s="444"/>
      <c r="AH111" s="444"/>
      <c r="AI111" s="444"/>
      <c r="AJ111" s="444"/>
      <c r="AK111" s="444"/>
      <c r="AL111" s="444"/>
      <c r="AM111" s="444"/>
      <c r="AN111" s="444"/>
      <c r="AO111" s="444"/>
      <c r="AP111" s="444"/>
      <c r="AQ111" s="56"/>
      <c r="AR111" s="56"/>
      <c r="AS111" s="56"/>
    </row>
    <row r="112" spans="1:45" ht="20.100000000000001" customHeight="1" x14ac:dyDescent="0.4">
      <c r="A112" s="56"/>
      <c r="B112" s="472">
        <v>4</v>
      </c>
      <c r="C112" s="449">
        <v>0.45833333333333331</v>
      </c>
      <c r="D112" s="449">
        <v>0.4375</v>
      </c>
      <c r="E112" s="449"/>
      <c r="F112" s="443"/>
      <c r="G112" s="444"/>
      <c r="H112" s="444"/>
      <c r="I112" s="444"/>
      <c r="J112" s="445" t="str">
        <f>IFERROR(VLOOKUP(AR112,$C$98:$N$102,3,0),"")&amp;IFERROR(VLOOKUP(AR112,$Q$98:$AB$102,3,0),"")&amp;IFERROR(VLOOKUP(AR112,$AE$98:$AP$101,3,0),"")</f>
        <v>ともぞうＳＣ</v>
      </c>
      <c r="K112" s="446"/>
      <c r="L112" s="446"/>
      <c r="M112" s="446"/>
      <c r="N112" s="446"/>
      <c r="O112" s="446"/>
      <c r="P112" s="446"/>
      <c r="Q112" s="450" t="str">
        <f>IF(OR(S112="",S113=""),"",S112+S113)</f>
        <v/>
      </c>
      <c r="R112" s="450"/>
      <c r="S112" s="220"/>
      <c r="T112" s="221" t="s">
        <v>30</v>
      </c>
      <c r="U112" s="220"/>
      <c r="V112" s="450" t="str">
        <f>IF(OR(U112="",U113=""),"",U112+U113)</f>
        <v/>
      </c>
      <c r="W112" s="450"/>
      <c r="X112" s="447" t="str">
        <f>IFERROR(VLOOKUP(AS112,$C$98:$N$102,3,0),"")&amp;IFERROR(VLOOKUP(AS112,$Q$98:$AB$102,3,0),"")&amp;IFERROR(VLOOKUP(AS112,$AE$98:$AP$101,3,0),"")</f>
        <v>昭和・戸祭ＳＣ-O</v>
      </c>
      <c r="Y112" s="448"/>
      <c r="Z112" s="448"/>
      <c r="AA112" s="448"/>
      <c r="AB112" s="448"/>
      <c r="AC112" s="448"/>
      <c r="AD112" s="448"/>
      <c r="AE112" s="443"/>
      <c r="AF112" s="444"/>
      <c r="AG112" s="444"/>
      <c r="AH112" s="444"/>
      <c r="AI112" s="450" t="str">
        <f t="shared" ref="AI112" ca="1" si="37">DBCS(INDIRECT("U12対戦スケジュール!e"&amp;(ROW()/2+24)))</f>
        <v>Ａ５／Ａ９／Ａ９／Ａ５</v>
      </c>
      <c r="AJ112" s="444"/>
      <c r="AK112" s="444"/>
      <c r="AL112" s="444"/>
      <c r="AM112" s="444"/>
      <c r="AN112" s="444"/>
      <c r="AO112" s="444"/>
      <c r="AP112" s="444"/>
      <c r="AQ112" s="56"/>
      <c r="AR112" s="56" t="s">
        <v>534</v>
      </c>
      <c r="AS112" s="56" t="s">
        <v>541</v>
      </c>
    </row>
    <row r="113" spans="1:45" ht="20.100000000000001" customHeight="1" x14ac:dyDescent="0.4">
      <c r="A113" s="56"/>
      <c r="B113" s="472"/>
      <c r="C113" s="449"/>
      <c r="D113" s="449"/>
      <c r="E113" s="449"/>
      <c r="F113" s="444"/>
      <c r="G113" s="444"/>
      <c r="H113" s="444"/>
      <c r="I113" s="444"/>
      <c r="J113" s="446"/>
      <c r="K113" s="446"/>
      <c r="L113" s="446"/>
      <c r="M113" s="446"/>
      <c r="N113" s="446"/>
      <c r="O113" s="446"/>
      <c r="P113" s="446"/>
      <c r="Q113" s="450"/>
      <c r="R113" s="450"/>
      <c r="S113" s="220"/>
      <c r="T113" s="221" t="s">
        <v>30</v>
      </c>
      <c r="U113" s="220"/>
      <c r="V113" s="450"/>
      <c r="W113" s="450"/>
      <c r="X113" s="448"/>
      <c r="Y113" s="448"/>
      <c r="Z113" s="448"/>
      <c r="AA113" s="448"/>
      <c r="AB113" s="448"/>
      <c r="AC113" s="448"/>
      <c r="AD113" s="448"/>
      <c r="AE113" s="444"/>
      <c r="AF113" s="444"/>
      <c r="AG113" s="444"/>
      <c r="AH113" s="444"/>
      <c r="AI113" s="444"/>
      <c r="AJ113" s="444"/>
      <c r="AK113" s="444"/>
      <c r="AL113" s="444"/>
      <c r="AM113" s="444"/>
      <c r="AN113" s="444"/>
      <c r="AO113" s="444"/>
      <c r="AP113" s="444"/>
      <c r="AQ113" s="56"/>
      <c r="AR113" s="56"/>
      <c r="AS113" s="56"/>
    </row>
    <row r="114" spans="1:45" ht="20.100000000000001" customHeight="1" x14ac:dyDescent="0.4">
      <c r="A114" s="56"/>
      <c r="B114" s="472">
        <v>5</v>
      </c>
      <c r="C114" s="449">
        <v>0.4861111111111111</v>
      </c>
      <c r="D114" s="449"/>
      <c r="E114" s="449"/>
      <c r="F114" s="443"/>
      <c r="G114" s="444"/>
      <c r="H114" s="444"/>
      <c r="I114" s="444"/>
      <c r="J114" s="445" t="str">
        <f>IFERROR(VLOOKUP(AR114,$C$98:$N$102,3,0),"")&amp;IFERROR(VLOOKUP(AR114,$Q$98:$AB$102,3,0),"")&amp;IFERROR(VLOOKUP(AR114,$AE$98:$AP$101,3,0),"")</f>
        <v>泉ＦＣ宇都宮</v>
      </c>
      <c r="K114" s="446"/>
      <c r="L114" s="446"/>
      <c r="M114" s="446"/>
      <c r="N114" s="446"/>
      <c r="O114" s="446"/>
      <c r="P114" s="446"/>
      <c r="Q114" s="450" t="str">
        <f>IF(OR(S114="",S115=""),"",S114+S115)</f>
        <v/>
      </c>
      <c r="R114" s="450"/>
      <c r="S114" s="220"/>
      <c r="T114" s="221" t="s">
        <v>30</v>
      </c>
      <c r="U114" s="220"/>
      <c r="V114" s="450" t="str">
        <f>IF(OR(U114="",U115=""),"",U114+U115)</f>
        <v/>
      </c>
      <c r="W114" s="450"/>
      <c r="X114" s="447" t="str">
        <f>IFERROR(VLOOKUP(AS114,$C$98:$N$102,3,0),"")&amp;IFERROR(VLOOKUP(AS114,$Q$98:$AB$102,3,0),"")&amp;IFERROR(VLOOKUP(AS114,$AE$98:$AP$101,3,0),"")</f>
        <v>カテット白沢U11</v>
      </c>
      <c r="Y114" s="448"/>
      <c r="Z114" s="448"/>
      <c r="AA114" s="448"/>
      <c r="AB114" s="448"/>
      <c r="AC114" s="448"/>
      <c r="AD114" s="448"/>
      <c r="AE114" s="443"/>
      <c r="AF114" s="444"/>
      <c r="AG114" s="444"/>
      <c r="AH114" s="444"/>
      <c r="AI114" s="450" t="str">
        <f t="shared" ref="AI114" ca="1" si="38">DBCS(INDIRECT("U12対戦スケジュール!e"&amp;(ROW()/2+24)))</f>
        <v>Ｂ５／Ｂ７／Ｂ７／Ｂ５</v>
      </c>
      <c r="AJ114" s="444"/>
      <c r="AK114" s="444"/>
      <c r="AL114" s="444"/>
      <c r="AM114" s="444"/>
      <c r="AN114" s="444"/>
      <c r="AO114" s="444"/>
      <c r="AP114" s="444"/>
      <c r="AQ114" s="56"/>
      <c r="AR114" s="56" t="s">
        <v>19</v>
      </c>
      <c r="AS114" s="56" t="s">
        <v>15</v>
      </c>
    </row>
    <row r="115" spans="1:45" ht="20.100000000000001" customHeight="1" x14ac:dyDescent="0.4">
      <c r="A115" s="56"/>
      <c r="B115" s="472"/>
      <c r="C115" s="449"/>
      <c r="D115" s="449"/>
      <c r="E115" s="449"/>
      <c r="F115" s="444"/>
      <c r="G115" s="444"/>
      <c r="H115" s="444"/>
      <c r="I115" s="444"/>
      <c r="J115" s="446"/>
      <c r="K115" s="446"/>
      <c r="L115" s="446"/>
      <c r="M115" s="446"/>
      <c r="N115" s="446"/>
      <c r="O115" s="446"/>
      <c r="P115" s="446"/>
      <c r="Q115" s="450"/>
      <c r="R115" s="450"/>
      <c r="S115" s="220"/>
      <c r="T115" s="221" t="s">
        <v>30</v>
      </c>
      <c r="U115" s="220"/>
      <c r="V115" s="450"/>
      <c r="W115" s="450"/>
      <c r="X115" s="448"/>
      <c r="Y115" s="448"/>
      <c r="Z115" s="448"/>
      <c r="AA115" s="448"/>
      <c r="AB115" s="448"/>
      <c r="AC115" s="448"/>
      <c r="AD115" s="448"/>
      <c r="AE115" s="444"/>
      <c r="AF115" s="444"/>
      <c r="AG115" s="444"/>
      <c r="AH115" s="444"/>
      <c r="AI115" s="444"/>
      <c r="AJ115" s="444"/>
      <c r="AK115" s="444"/>
      <c r="AL115" s="444"/>
      <c r="AM115" s="444"/>
      <c r="AN115" s="444"/>
      <c r="AO115" s="444"/>
      <c r="AP115" s="444"/>
      <c r="AQ115" s="56"/>
      <c r="AR115" s="56"/>
      <c r="AS115" s="56"/>
    </row>
    <row r="116" spans="1:45" ht="20.100000000000001" customHeight="1" x14ac:dyDescent="0.4">
      <c r="A116" s="56"/>
      <c r="B116" s="472">
        <v>6</v>
      </c>
      <c r="C116" s="449">
        <v>0.51388888888888895</v>
      </c>
      <c r="D116" s="449">
        <v>0.4375</v>
      </c>
      <c r="E116" s="449"/>
      <c r="F116" s="443"/>
      <c r="G116" s="444"/>
      <c r="H116" s="444"/>
      <c r="I116" s="444"/>
      <c r="J116" s="445" t="str">
        <f>IFERROR(VLOOKUP(AR116,$C$98:$N$102,3,0),"")&amp;IFERROR(VLOOKUP(AR116,$Q$98:$AB$102,3,0),"")&amp;IFERROR(VLOOKUP(AR116,$AE$98:$AP$101,3,0),"")</f>
        <v>ウエストフットコム</v>
      </c>
      <c r="K116" s="446"/>
      <c r="L116" s="446"/>
      <c r="M116" s="446"/>
      <c r="N116" s="446"/>
      <c r="O116" s="446"/>
      <c r="P116" s="446"/>
      <c r="Q116" s="450" t="str">
        <f>IF(OR(S116="",S117=""),"",S116+S117)</f>
        <v/>
      </c>
      <c r="R116" s="450"/>
      <c r="S116" s="220"/>
      <c r="T116" s="221" t="s">
        <v>30</v>
      </c>
      <c r="U116" s="220"/>
      <c r="V116" s="450" t="str">
        <f>IF(OR(U116="",U117=""),"",U116+U117)</f>
        <v/>
      </c>
      <c r="W116" s="450"/>
      <c r="X116" s="447" t="str">
        <f>IFERROR(VLOOKUP(AS116,$C$98:$N$102,3,0),"")&amp;IFERROR(VLOOKUP(AS116,$Q$98:$AB$102,3,0),"")&amp;IFERROR(VLOOKUP(AS116,$AE$98:$AP$101,3,0),"")</f>
        <v>ともぞうＳＣ</v>
      </c>
      <c r="Y116" s="448"/>
      <c r="Z116" s="448"/>
      <c r="AA116" s="448"/>
      <c r="AB116" s="448"/>
      <c r="AC116" s="448"/>
      <c r="AD116" s="448"/>
      <c r="AE116" s="443"/>
      <c r="AF116" s="444"/>
      <c r="AG116" s="444"/>
      <c r="AH116" s="444"/>
      <c r="AI116" s="450" t="str">
        <f t="shared" ref="AI116" ca="1" si="39">DBCS(INDIRECT("U12対戦スケジュール!e"&amp;(ROW()/2+24)))</f>
        <v>Ａ９／Ａ３／Ａ３／Ａ９</v>
      </c>
      <c r="AJ116" s="444"/>
      <c r="AK116" s="444"/>
      <c r="AL116" s="444"/>
      <c r="AM116" s="444"/>
      <c r="AN116" s="444"/>
      <c r="AO116" s="444"/>
      <c r="AP116" s="444"/>
      <c r="AQ116" s="56"/>
      <c r="AR116" s="56" t="s">
        <v>543</v>
      </c>
      <c r="AS116" s="56" t="s">
        <v>534</v>
      </c>
    </row>
    <row r="117" spans="1:45" ht="20.100000000000001" customHeight="1" x14ac:dyDescent="0.4">
      <c r="A117" s="56"/>
      <c r="B117" s="472"/>
      <c r="C117" s="449"/>
      <c r="D117" s="449"/>
      <c r="E117" s="449"/>
      <c r="F117" s="444"/>
      <c r="G117" s="444"/>
      <c r="H117" s="444"/>
      <c r="I117" s="444"/>
      <c r="J117" s="446"/>
      <c r="K117" s="446"/>
      <c r="L117" s="446"/>
      <c r="M117" s="446"/>
      <c r="N117" s="446"/>
      <c r="O117" s="446"/>
      <c r="P117" s="446"/>
      <c r="Q117" s="450"/>
      <c r="R117" s="450"/>
      <c r="S117" s="220"/>
      <c r="T117" s="221" t="s">
        <v>30</v>
      </c>
      <c r="U117" s="220"/>
      <c r="V117" s="450"/>
      <c r="W117" s="450"/>
      <c r="X117" s="448"/>
      <c r="Y117" s="448"/>
      <c r="Z117" s="448"/>
      <c r="AA117" s="448"/>
      <c r="AB117" s="448"/>
      <c r="AC117" s="448"/>
      <c r="AD117" s="448"/>
      <c r="AE117" s="444"/>
      <c r="AF117" s="444"/>
      <c r="AG117" s="444"/>
      <c r="AH117" s="444"/>
      <c r="AI117" s="444"/>
      <c r="AJ117" s="444"/>
      <c r="AK117" s="444"/>
      <c r="AL117" s="444"/>
      <c r="AM117" s="444"/>
      <c r="AN117" s="444"/>
      <c r="AO117" s="444"/>
      <c r="AP117" s="444"/>
      <c r="AQ117" s="56"/>
      <c r="AR117" s="56"/>
      <c r="AS117" s="56"/>
    </row>
    <row r="118" spans="1:45" ht="20.100000000000001" hidden="1" customHeight="1" x14ac:dyDescent="0.4">
      <c r="A118" s="56"/>
      <c r="B118" s="472">
        <v>7</v>
      </c>
      <c r="C118" s="449">
        <v>0.54166666666666663</v>
      </c>
      <c r="D118" s="449">
        <v>0.4375</v>
      </c>
      <c r="E118" s="449"/>
      <c r="F118" s="443"/>
      <c r="G118" s="444"/>
      <c r="H118" s="444"/>
      <c r="I118" s="444"/>
      <c r="J118" s="445"/>
      <c r="K118" s="446"/>
      <c r="L118" s="446"/>
      <c r="M118" s="446"/>
      <c r="N118" s="446"/>
      <c r="O118" s="446"/>
      <c r="P118" s="446"/>
      <c r="Q118" s="450" t="str">
        <f>IF(OR(S118="",S119=""),"",S118+S119)</f>
        <v/>
      </c>
      <c r="R118" s="450"/>
      <c r="S118" s="220"/>
      <c r="T118" s="221" t="s">
        <v>30</v>
      </c>
      <c r="U118" s="220"/>
      <c r="V118" s="450" t="str">
        <f>IF(OR(U118="",U119=""),"",U118+U119)</f>
        <v/>
      </c>
      <c r="W118" s="450"/>
      <c r="X118" s="447"/>
      <c r="Y118" s="448"/>
      <c r="Z118" s="448"/>
      <c r="AA118" s="448"/>
      <c r="AB118" s="448"/>
      <c r="AC118" s="448"/>
      <c r="AD118" s="448"/>
      <c r="AE118" s="443"/>
      <c r="AF118" s="444"/>
      <c r="AG118" s="444"/>
      <c r="AH118" s="444"/>
      <c r="AI118" s="450"/>
      <c r="AJ118" s="444"/>
      <c r="AK118" s="444"/>
      <c r="AL118" s="444"/>
      <c r="AM118" s="444"/>
      <c r="AN118" s="444"/>
      <c r="AO118" s="444"/>
      <c r="AP118" s="444"/>
      <c r="AQ118" s="56"/>
      <c r="AR118" s="56"/>
      <c r="AS118" s="56"/>
    </row>
    <row r="119" spans="1:45" ht="20.100000000000001" hidden="1" customHeight="1" x14ac:dyDescent="0.4">
      <c r="A119" s="56"/>
      <c r="B119" s="472"/>
      <c r="C119" s="449"/>
      <c r="D119" s="449"/>
      <c r="E119" s="449"/>
      <c r="F119" s="444"/>
      <c r="G119" s="444"/>
      <c r="H119" s="444"/>
      <c r="I119" s="444"/>
      <c r="J119" s="446"/>
      <c r="K119" s="446"/>
      <c r="L119" s="446"/>
      <c r="M119" s="446"/>
      <c r="N119" s="446"/>
      <c r="O119" s="446"/>
      <c r="P119" s="446"/>
      <c r="Q119" s="450"/>
      <c r="R119" s="450"/>
      <c r="S119" s="220"/>
      <c r="T119" s="221" t="s">
        <v>30</v>
      </c>
      <c r="U119" s="220"/>
      <c r="V119" s="450"/>
      <c r="W119" s="450"/>
      <c r="X119" s="448"/>
      <c r="Y119" s="448"/>
      <c r="Z119" s="448"/>
      <c r="AA119" s="448"/>
      <c r="AB119" s="448"/>
      <c r="AC119" s="448"/>
      <c r="AD119" s="448"/>
      <c r="AE119" s="444"/>
      <c r="AF119" s="444"/>
      <c r="AG119" s="444"/>
      <c r="AH119" s="444"/>
      <c r="AI119" s="444"/>
      <c r="AJ119" s="444"/>
      <c r="AK119" s="444"/>
      <c r="AL119" s="444"/>
      <c r="AM119" s="444"/>
      <c r="AN119" s="444"/>
      <c r="AO119" s="444"/>
      <c r="AP119" s="444"/>
      <c r="AQ119" s="56"/>
      <c r="AR119" s="56"/>
      <c r="AS119" s="56"/>
    </row>
    <row r="120" spans="1:45" ht="15.75" customHeight="1" x14ac:dyDescent="0.4">
      <c r="A120" s="58"/>
      <c r="B120" s="59"/>
      <c r="C120" s="60"/>
      <c r="D120" s="60"/>
      <c r="E120" s="60"/>
      <c r="F120" s="59"/>
      <c r="G120" s="59"/>
      <c r="H120" s="59"/>
      <c r="I120" s="59"/>
      <c r="J120" s="59"/>
      <c r="K120" s="61"/>
      <c r="L120" s="61"/>
      <c r="M120" s="62"/>
      <c r="N120" s="63"/>
      <c r="O120" s="62"/>
      <c r="P120" s="61"/>
      <c r="Q120" s="61"/>
      <c r="R120" s="59"/>
      <c r="S120" s="59"/>
      <c r="T120" s="59"/>
      <c r="U120" s="59"/>
      <c r="V120" s="59"/>
      <c r="W120" s="66"/>
      <c r="X120" s="66"/>
      <c r="Y120" s="66"/>
      <c r="Z120" s="66"/>
      <c r="AA120" s="66"/>
      <c r="AB120" s="66"/>
      <c r="AC120" s="58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</row>
    <row r="121" spans="1:45" ht="20.25" customHeight="1" x14ac:dyDescent="0.4">
      <c r="A121" s="56"/>
      <c r="B121" s="56"/>
      <c r="C121" s="56"/>
      <c r="D121" s="477" t="s">
        <v>31</v>
      </c>
      <c r="E121" s="477"/>
      <c r="F121" s="477"/>
      <c r="G121" s="477"/>
      <c r="H121" s="477"/>
      <c r="I121" s="477"/>
      <c r="J121" s="477" t="s">
        <v>27</v>
      </c>
      <c r="K121" s="477"/>
      <c r="L121" s="477"/>
      <c r="M121" s="477"/>
      <c r="N121" s="477"/>
      <c r="O121" s="477"/>
      <c r="P121" s="477"/>
      <c r="Q121" s="477"/>
      <c r="R121" s="478" t="s">
        <v>32</v>
      </c>
      <c r="S121" s="478"/>
      <c r="T121" s="478"/>
      <c r="U121" s="478"/>
      <c r="V121" s="478"/>
      <c r="W121" s="478"/>
      <c r="X121" s="478"/>
      <c r="Y121" s="478"/>
      <c r="Z121" s="478"/>
      <c r="AA121" s="479" t="s">
        <v>33</v>
      </c>
      <c r="AB121" s="479"/>
      <c r="AC121" s="479"/>
      <c r="AD121" s="479" t="s">
        <v>34</v>
      </c>
      <c r="AE121" s="479"/>
      <c r="AF121" s="479"/>
      <c r="AG121" s="479"/>
      <c r="AH121" s="479"/>
      <c r="AI121" s="479"/>
      <c r="AJ121" s="479"/>
      <c r="AK121" s="479"/>
      <c r="AL121" s="479"/>
      <c r="AM121" s="479"/>
      <c r="AN121" s="56"/>
      <c r="AO121" s="56"/>
      <c r="AP121" s="56"/>
      <c r="AQ121" s="56"/>
      <c r="AR121" s="56"/>
      <c r="AS121" s="56"/>
    </row>
    <row r="122" spans="1:45" ht="30" customHeight="1" x14ac:dyDescent="0.4">
      <c r="A122" s="56"/>
      <c r="B122" s="56"/>
      <c r="C122" s="56"/>
      <c r="D122" s="477" t="s">
        <v>35</v>
      </c>
      <c r="E122" s="477"/>
      <c r="F122" s="477"/>
      <c r="G122" s="477"/>
      <c r="H122" s="477"/>
      <c r="I122" s="477"/>
      <c r="J122" s="477"/>
      <c r="K122" s="477"/>
      <c r="L122" s="477"/>
      <c r="M122" s="477"/>
      <c r="N122" s="477"/>
      <c r="O122" s="477"/>
      <c r="P122" s="477"/>
      <c r="Q122" s="477"/>
      <c r="R122" s="478"/>
      <c r="S122" s="478"/>
      <c r="T122" s="478"/>
      <c r="U122" s="478"/>
      <c r="V122" s="478"/>
      <c r="W122" s="478"/>
      <c r="X122" s="478"/>
      <c r="Y122" s="478"/>
      <c r="Z122" s="478"/>
      <c r="AA122" s="481"/>
      <c r="AB122" s="481"/>
      <c r="AC122" s="481"/>
      <c r="AD122" s="527"/>
      <c r="AE122" s="527"/>
      <c r="AF122" s="527"/>
      <c r="AG122" s="527"/>
      <c r="AH122" s="527"/>
      <c r="AI122" s="527"/>
      <c r="AJ122" s="527"/>
      <c r="AK122" s="527"/>
      <c r="AL122" s="527"/>
      <c r="AM122" s="527"/>
      <c r="AN122" s="56"/>
      <c r="AO122" s="56"/>
      <c r="AP122" s="56"/>
      <c r="AQ122" s="56"/>
      <c r="AR122" s="56"/>
      <c r="AS122" s="56"/>
    </row>
    <row r="123" spans="1:45" ht="30" customHeight="1" x14ac:dyDescent="0.4">
      <c r="A123" s="56"/>
      <c r="B123" s="56"/>
      <c r="C123" s="56"/>
      <c r="D123" s="477" t="s">
        <v>35</v>
      </c>
      <c r="E123" s="477"/>
      <c r="F123" s="477"/>
      <c r="G123" s="477"/>
      <c r="H123" s="477"/>
      <c r="I123" s="477"/>
      <c r="J123" s="477"/>
      <c r="K123" s="477"/>
      <c r="L123" s="477"/>
      <c r="M123" s="477"/>
      <c r="N123" s="477"/>
      <c r="O123" s="477"/>
      <c r="P123" s="477"/>
      <c r="Q123" s="477"/>
      <c r="R123" s="478"/>
      <c r="S123" s="478"/>
      <c r="T123" s="478"/>
      <c r="U123" s="478"/>
      <c r="V123" s="478"/>
      <c r="W123" s="478"/>
      <c r="X123" s="478"/>
      <c r="Y123" s="478"/>
      <c r="Z123" s="478"/>
      <c r="AA123" s="479"/>
      <c r="AB123" s="479"/>
      <c r="AC123" s="479"/>
      <c r="AD123" s="480"/>
      <c r="AE123" s="480"/>
      <c r="AF123" s="480"/>
      <c r="AG123" s="480"/>
      <c r="AH123" s="480"/>
      <c r="AI123" s="480"/>
      <c r="AJ123" s="480"/>
      <c r="AK123" s="480"/>
      <c r="AL123" s="480"/>
      <c r="AM123" s="480"/>
      <c r="AN123" s="56"/>
      <c r="AO123" s="56"/>
      <c r="AP123" s="56"/>
      <c r="AQ123" s="56"/>
      <c r="AR123" s="56"/>
      <c r="AS123" s="56"/>
    </row>
    <row r="124" spans="1:45" ht="30" customHeight="1" x14ac:dyDescent="0.4">
      <c r="A124" s="56"/>
      <c r="B124" s="56"/>
      <c r="C124" s="56"/>
      <c r="D124" s="477" t="s">
        <v>35</v>
      </c>
      <c r="E124" s="477"/>
      <c r="F124" s="477"/>
      <c r="G124" s="477"/>
      <c r="H124" s="477"/>
      <c r="I124" s="477"/>
      <c r="J124" s="477"/>
      <c r="K124" s="477"/>
      <c r="L124" s="477"/>
      <c r="M124" s="477"/>
      <c r="N124" s="477"/>
      <c r="O124" s="477"/>
      <c r="P124" s="477"/>
      <c r="Q124" s="477"/>
      <c r="R124" s="478"/>
      <c r="S124" s="478"/>
      <c r="T124" s="478"/>
      <c r="U124" s="478"/>
      <c r="V124" s="478"/>
      <c r="W124" s="478"/>
      <c r="X124" s="478"/>
      <c r="Y124" s="478"/>
      <c r="Z124" s="478"/>
      <c r="AA124" s="479"/>
      <c r="AB124" s="479"/>
      <c r="AC124" s="479"/>
      <c r="AD124" s="480"/>
      <c r="AE124" s="480"/>
      <c r="AF124" s="480"/>
      <c r="AG124" s="480"/>
      <c r="AH124" s="480"/>
      <c r="AI124" s="480"/>
      <c r="AJ124" s="480"/>
      <c r="AK124" s="480"/>
      <c r="AL124" s="480"/>
      <c r="AM124" s="480"/>
      <c r="AN124" s="56"/>
      <c r="AO124" s="56"/>
      <c r="AP124" s="56"/>
      <c r="AQ124" s="56"/>
      <c r="AR124" s="56"/>
      <c r="AS124" s="56"/>
    </row>
    <row r="125" spans="1:45" ht="14.25" customHeight="1" x14ac:dyDescent="0.4">
      <c r="A125" s="202"/>
      <c r="B125" s="202"/>
      <c r="C125" s="202"/>
      <c r="D125" s="202"/>
      <c r="E125" s="202"/>
      <c r="F125" s="202"/>
      <c r="G125" s="202"/>
      <c r="H125" s="202"/>
      <c r="I125" s="202"/>
      <c r="J125" s="202"/>
      <c r="K125" s="202"/>
      <c r="L125" s="202"/>
      <c r="M125" s="202"/>
      <c r="N125" s="202"/>
      <c r="O125" s="202"/>
      <c r="P125" s="202"/>
      <c r="Q125" s="202"/>
      <c r="R125" s="202"/>
      <c r="S125" s="202"/>
      <c r="T125" s="202"/>
      <c r="U125" s="202"/>
      <c r="V125" s="202"/>
      <c r="W125" s="202"/>
      <c r="X125" s="202"/>
      <c r="Y125" s="202"/>
      <c r="Z125" s="202"/>
      <c r="AA125" s="202"/>
      <c r="AB125" s="202"/>
      <c r="AC125" s="202"/>
      <c r="AD125" s="202"/>
      <c r="AE125" s="202"/>
      <c r="AF125" s="202"/>
      <c r="AG125" s="202"/>
      <c r="AH125" s="202"/>
      <c r="AI125" s="202"/>
      <c r="AJ125" s="202"/>
      <c r="AK125" s="202"/>
      <c r="AL125" s="202"/>
      <c r="AM125" s="202"/>
      <c r="AN125" s="202"/>
      <c r="AO125" s="202"/>
      <c r="AP125" s="202"/>
      <c r="AQ125" s="202"/>
    </row>
    <row r="126" spans="1:45" ht="14.25" customHeight="1" x14ac:dyDescent="0.4">
      <c r="A126" s="202"/>
      <c r="B126" s="20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02"/>
      <c r="AA126" s="202"/>
      <c r="AB126" s="202"/>
      <c r="AC126" s="202"/>
      <c r="AD126" s="202"/>
      <c r="AE126" s="202"/>
      <c r="AF126" s="202"/>
      <c r="AG126" s="202"/>
      <c r="AH126" s="202"/>
      <c r="AI126" s="202"/>
      <c r="AJ126" s="202"/>
      <c r="AK126" s="202"/>
      <c r="AL126" s="202"/>
      <c r="AM126" s="202"/>
      <c r="AN126" s="202"/>
      <c r="AO126" s="202"/>
      <c r="AP126" s="202"/>
      <c r="AQ126" s="202"/>
    </row>
    <row r="127" spans="1:45" ht="27.75" customHeight="1" x14ac:dyDescent="0.4">
      <c r="C127" s="203"/>
      <c r="D127" s="203"/>
      <c r="E127" s="203"/>
      <c r="F127" s="203"/>
      <c r="G127" s="204"/>
      <c r="H127" s="205"/>
      <c r="I127" s="205"/>
      <c r="J127" s="205"/>
      <c r="K127" s="205"/>
      <c r="L127" s="205"/>
      <c r="M127" s="205"/>
      <c r="N127" s="205"/>
      <c r="O127" s="205"/>
      <c r="P127" s="203"/>
      <c r="Q127" s="203"/>
      <c r="R127" s="203"/>
      <c r="S127" s="203"/>
      <c r="T127" s="206"/>
      <c r="U127" s="203"/>
      <c r="V127" s="203"/>
      <c r="W127" s="203"/>
      <c r="X127" s="203"/>
      <c r="Y127" s="203"/>
      <c r="Z127" s="203"/>
      <c r="AA127" s="203"/>
      <c r="AB127" s="203"/>
      <c r="AC127" s="203"/>
      <c r="AD127" s="203"/>
      <c r="AE127" s="203"/>
      <c r="AF127" s="203"/>
      <c r="AG127" s="207"/>
      <c r="AH127" s="207"/>
      <c r="AI127" s="207"/>
      <c r="AJ127" s="207"/>
      <c r="AK127" s="207"/>
      <c r="AL127" s="207"/>
      <c r="AM127" s="207"/>
      <c r="AN127" s="207"/>
      <c r="AO127" s="207"/>
    </row>
    <row r="128" spans="1:45" ht="15" customHeight="1" x14ac:dyDescent="0.4">
      <c r="W128" s="192"/>
      <c r="X128" s="192"/>
      <c r="Y128" s="192"/>
      <c r="Z128" s="192"/>
      <c r="AA128" s="192"/>
      <c r="AB128" s="192"/>
      <c r="AC128" s="192"/>
    </row>
    <row r="129" spans="2:42" ht="18" customHeight="1" x14ac:dyDescent="0.4">
      <c r="C129" s="208"/>
      <c r="D129" s="208"/>
      <c r="E129" s="209"/>
      <c r="F129" s="209"/>
      <c r="G129" s="209"/>
      <c r="H129" s="209"/>
      <c r="I129" s="209"/>
      <c r="J129" s="209"/>
      <c r="K129" s="209"/>
      <c r="L129" s="209"/>
      <c r="M129" s="209"/>
      <c r="N129" s="209"/>
      <c r="Q129" s="208"/>
      <c r="R129" s="208"/>
      <c r="S129" s="209"/>
      <c r="T129" s="209"/>
      <c r="U129" s="209"/>
      <c r="V129" s="209"/>
      <c r="W129" s="209"/>
      <c r="X129" s="209"/>
      <c r="Y129" s="209"/>
      <c r="Z129" s="209"/>
      <c r="AA129" s="209"/>
      <c r="AB129" s="209"/>
      <c r="AC129" s="192"/>
      <c r="AE129" s="208"/>
      <c r="AF129" s="208"/>
      <c r="AG129" s="209"/>
      <c r="AH129" s="209"/>
      <c r="AI129" s="209"/>
      <c r="AJ129" s="209"/>
      <c r="AK129" s="209"/>
      <c r="AL129" s="209"/>
      <c r="AM129" s="209"/>
      <c r="AN129" s="209"/>
      <c r="AO129" s="209"/>
      <c r="AP129" s="209"/>
    </row>
    <row r="130" spans="2:42" ht="18" customHeight="1" x14ac:dyDescent="0.4">
      <c r="C130" s="208"/>
      <c r="D130" s="208"/>
      <c r="E130" s="209"/>
      <c r="F130" s="209"/>
      <c r="G130" s="209"/>
      <c r="H130" s="209"/>
      <c r="I130" s="209"/>
      <c r="J130" s="209"/>
      <c r="K130" s="209"/>
      <c r="L130" s="209"/>
      <c r="M130" s="209"/>
      <c r="N130" s="209"/>
      <c r="Q130" s="208"/>
      <c r="R130" s="208"/>
      <c r="S130" s="209"/>
      <c r="T130" s="209"/>
      <c r="U130" s="209"/>
      <c r="V130" s="209"/>
      <c r="W130" s="209"/>
      <c r="X130" s="209"/>
      <c r="Y130" s="209"/>
      <c r="Z130" s="209"/>
      <c r="AA130" s="209"/>
      <c r="AB130" s="209"/>
      <c r="AC130" s="192"/>
      <c r="AE130" s="208"/>
      <c r="AF130" s="208"/>
      <c r="AG130" s="209"/>
      <c r="AH130" s="209"/>
      <c r="AI130" s="209"/>
      <c r="AJ130" s="209"/>
      <c r="AK130" s="209"/>
      <c r="AL130" s="209"/>
      <c r="AM130" s="209"/>
      <c r="AN130" s="209"/>
      <c r="AO130" s="209"/>
      <c r="AP130" s="209"/>
    </row>
    <row r="131" spans="2:42" ht="18" customHeight="1" x14ac:dyDescent="0.4">
      <c r="C131" s="208"/>
      <c r="D131" s="208"/>
      <c r="E131" s="209"/>
      <c r="F131" s="209"/>
      <c r="G131" s="209"/>
      <c r="H131" s="209"/>
      <c r="I131" s="209"/>
      <c r="J131" s="209"/>
      <c r="K131" s="209"/>
      <c r="L131" s="209"/>
      <c r="M131" s="209"/>
      <c r="N131" s="209"/>
      <c r="Q131" s="208"/>
      <c r="R131" s="208"/>
      <c r="S131" s="209"/>
      <c r="T131" s="209"/>
      <c r="U131" s="209"/>
      <c r="V131" s="209"/>
      <c r="W131" s="209"/>
      <c r="X131" s="209"/>
      <c r="Y131" s="209"/>
      <c r="Z131" s="209"/>
      <c r="AA131" s="209"/>
      <c r="AB131" s="209"/>
      <c r="AC131" s="192"/>
      <c r="AE131" s="208"/>
      <c r="AF131" s="208"/>
      <c r="AG131" s="209"/>
      <c r="AH131" s="209"/>
      <c r="AI131" s="209"/>
      <c r="AJ131" s="209"/>
      <c r="AK131" s="209"/>
      <c r="AL131" s="209"/>
      <c r="AM131" s="209"/>
      <c r="AN131" s="209"/>
      <c r="AO131" s="209"/>
      <c r="AP131" s="209"/>
    </row>
    <row r="132" spans="2:42" ht="18" customHeight="1" x14ac:dyDescent="0.4">
      <c r="C132" s="208"/>
      <c r="D132" s="208"/>
      <c r="E132" s="209"/>
      <c r="F132" s="209"/>
      <c r="G132" s="209"/>
      <c r="H132" s="209"/>
      <c r="I132" s="209"/>
      <c r="J132" s="209"/>
      <c r="K132" s="209"/>
      <c r="L132" s="209"/>
      <c r="M132" s="209"/>
      <c r="N132" s="209"/>
      <c r="Q132" s="208"/>
      <c r="R132" s="208"/>
      <c r="S132" s="209"/>
      <c r="T132" s="209"/>
      <c r="U132" s="209"/>
      <c r="V132" s="209"/>
      <c r="W132" s="209"/>
      <c r="X132" s="209"/>
      <c r="Y132" s="209"/>
      <c r="Z132" s="209"/>
      <c r="AA132" s="209"/>
      <c r="AB132" s="209"/>
      <c r="AC132" s="192"/>
      <c r="AE132" s="208"/>
      <c r="AF132" s="208"/>
      <c r="AG132" s="209"/>
      <c r="AH132" s="209"/>
      <c r="AI132" s="209"/>
      <c r="AJ132" s="209"/>
      <c r="AK132" s="209"/>
      <c r="AL132" s="209"/>
      <c r="AM132" s="209"/>
      <c r="AN132" s="209"/>
      <c r="AO132" s="209"/>
      <c r="AP132" s="209"/>
    </row>
    <row r="133" spans="2:42" ht="18" customHeight="1" x14ac:dyDescent="0.4">
      <c r="C133" s="208"/>
      <c r="D133" s="208"/>
      <c r="E133" s="209"/>
      <c r="F133" s="209"/>
      <c r="G133" s="209"/>
      <c r="H133" s="209"/>
      <c r="I133" s="209"/>
      <c r="J133" s="209"/>
      <c r="K133" s="209"/>
      <c r="L133" s="209"/>
      <c r="M133" s="209"/>
      <c r="N133" s="209"/>
      <c r="Q133" s="208"/>
      <c r="R133" s="208"/>
      <c r="S133" s="209"/>
      <c r="T133" s="209"/>
      <c r="U133" s="209"/>
      <c r="V133" s="209"/>
      <c r="W133" s="209"/>
      <c r="X133" s="209"/>
      <c r="Y133" s="209"/>
      <c r="Z133" s="209"/>
      <c r="AA133" s="209"/>
      <c r="AB133" s="209"/>
      <c r="AC133" s="192"/>
      <c r="AE133" s="208"/>
      <c r="AF133" s="208"/>
      <c r="AG133" s="209"/>
      <c r="AH133" s="157"/>
      <c r="AI133" s="157"/>
      <c r="AJ133" s="157"/>
      <c r="AK133" s="157"/>
      <c r="AL133" s="157"/>
      <c r="AM133" s="157"/>
      <c r="AN133" s="157"/>
      <c r="AO133" s="157"/>
      <c r="AP133" s="157"/>
    </row>
    <row r="134" spans="2:42" ht="15" customHeight="1" x14ac:dyDescent="0.4">
      <c r="C134" s="193"/>
      <c r="D134" s="194"/>
      <c r="E134" s="194"/>
      <c r="F134" s="194"/>
      <c r="G134" s="194"/>
      <c r="H134" s="194"/>
      <c r="T134" s="194"/>
      <c r="V134" s="194"/>
      <c r="X134" s="194"/>
      <c r="Z134" s="194"/>
      <c r="AB134" s="194"/>
      <c r="AC134" s="194"/>
    </row>
    <row r="135" spans="2:42" ht="21" customHeight="1" x14ac:dyDescent="0.4"/>
    <row r="136" spans="2:42" ht="20.25" customHeight="1" x14ac:dyDescent="0.4">
      <c r="B136" s="210"/>
      <c r="C136" s="211"/>
      <c r="D136" s="211"/>
      <c r="E136" s="211"/>
      <c r="F136" s="212"/>
      <c r="G136" s="213"/>
      <c r="H136" s="213"/>
      <c r="I136" s="213"/>
      <c r="J136" s="211"/>
      <c r="K136" s="214"/>
      <c r="L136" s="214"/>
      <c r="M136" s="214"/>
      <c r="N136" s="214"/>
      <c r="O136" s="214"/>
      <c r="P136" s="214"/>
      <c r="Q136" s="211"/>
      <c r="R136" s="211"/>
      <c r="S136" s="211"/>
      <c r="T136" s="211"/>
      <c r="U136" s="211"/>
      <c r="V136" s="211"/>
      <c r="W136" s="211"/>
      <c r="X136" s="211"/>
      <c r="Y136" s="214"/>
      <c r="Z136" s="214"/>
      <c r="AA136" s="214"/>
      <c r="AB136" s="214"/>
      <c r="AC136" s="214"/>
      <c r="AD136" s="214"/>
      <c r="AE136" s="212"/>
      <c r="AF136" s="213"/>
      <c r="AG136" s="213"/>
      <c r="AH136" s="213"/>
      <c r="AI136" s="211"/>
      <c r="AJ136" s="211"/>
      <c r="AK136" s="214"/>
      <c r="AL136" s="214"/>
      <c r="AM136" s="214"/>
      <c r="AN136" s="214"/>
      <c r="AO136" s="214"/>
      <c r="AP136" s="214"/>
    </row>
    <row r="137" spans="2:42" ht="20.100000000000001" customHeight="1" x14ac:dyDescent="0.4">
      <c r="B137" s="196"/>
      <c r="C137" s="197"/>
      <c r="D137" s="197"/>
      <c r="E137" s="197"/>
      <c r="G137"/>
      <c r="H137"/>
      <c r="I137"/>
      <c r="J137" s="198"/>
      <c r="K137" s="214"/>
      <c r="L137" s="214"/>
      <c r="M137" s="214"/>
      <c r="N137" s="214"/>
      <c r="O137" s="214"/>
      <c r="P137" s="214"/>
      <c r="Q137" s="198"/>
      <c r="R137" s="198"/>
      <c r="S137" s="198"/>
      <c r="T137" s="215"/>
      <c r="U137" s="198"/>
      <c r="V137" s="198"/>
      <c r="W137" s="198"/>
      <c r="X137" s="198"/>
      <c r="Y137" s="214"/>
      <c r="Z137" s="214"/>
      <c r="AA137" s="214"/>
      <c r="AB137" s="214"/>
      <c r="AC137" s="214"/>
      <c r="AD137" s="214"/>
      <c r="AF137"/>
      <c r="AG137"/>
      <c r="AH137"/>
      <c r="AI137" s="198"/>
      <c r="AJ137"/>
      <c r="AK137"/>
      <c r="AL137"/>
      <c r="AM137"/>
      <c r="AN137"/>
      <c r="AO137"/>
      <c r="AP137"/>
    </row>
    <row r="138" spans="2:42" ht="20.100000000000001" customHeight="1" x14ac:dyDescent="0.4">
      <c r="B138" s="196"/>
      <c r="C138" s="197"/>
      <c r="D138" s="197"/>
      <c r="E138" s="197"/>
      <c r="F138"/>
      <c r="G138"/>
      <c r="H138"/>
      <c r="I138"/>
      <c r="J138" s="214"/>
      <c r="K138" s="214"/>
      <c r="L138" s="214"/>
      <c r="M138" s="214"/>
      <c r="N138" s="214"/>
      <c r="O138" s="214"/>
      <c r="P138" s="214"/>
      <c r="Q138" s="198"/>
      <c r="R138" s="198"/>
      <c r="S138" s="198"/>
      <c r="T138" s="215"/>
      <c r="U138" s="198"/>
      <c r="V138" s="198"/>
      <c r="W138" s="198"/>
      <c r="X138" s="214"/>
      <c r="Y138" s="214"/>
      <c r="Z138" s="214"/>
      <c r="AA138" s="214"/>
      <c r="AB138" s="214"/>
      <c r="AC138" s="214"/>
      <c r="AD138" s="214"/>
      <c r="AE138"/>
      <c r="AF138"/>
      <c r="AG138"/>
      <c r="AH138"/>
      <c r="AI138"/>
      <c r="AJ138"/>
      <c r="AK138"/>
      <c r="AL138"/>
      <c r="AM138"/>
      <c r="AN138"/>
      <c r="AO138"/>
      <c r="AP138"/>
    </row>
    <row r="139" spans="2:42" ht="20.100000000000001" customHeight="1" x14ac:dyDescent="0.4">
      <c r="B139" s="196"/>
      <c r="C139" s="197"/>
      <c r="D139" s="197"/>
      <c r="E139" s="197"/>
      <c r="G139"/>
      <c r="H139"/>
      <c r="I139"/>
      <c r="J139" s="198"/>
      <c r="K139" s="214"/>
      <c r="L139" s="214"/>
      <c r="M139" s="214"/>
      <c r="N139" s="214"/>
      <c r="O139" s="214"/>
      <c r="P139" s="214"/>
      <c r="Q139" s="198"/>
      <c r="R139" s="198"/>
      <c r="S139" s="198"/>
      <c r="T139" s="215"/>
      <c r="U139" s="198"/>
      <c r="V139" s="198"/>
      <c r="W139" s="198"/>
      <c r="X139" s="198"/>
      <c r="Y139" s="214"/>
      <c r="Z139" s="214"/>
      <c r="AA139" s="214"/>
      <c r="AB139" s="214"/>
      <c r="AC139" s="214"/>
      <c r="AD139" s="214"/>
      <c r="AF139"/>
      <c r="AG139"/>
      <c r="AH139"/>
      <c r="AI139" s="198"/>
      <c r="AJ139"/>
      <c r="AK139"/>
      <c r="AL139"/>
      <c r="AM139"/>
      <c r="AN139"/>
      <c r="AO139"/>
      <c r="AP139"/>
    </row>
    <row r="140" spans="2:42" ht="20.100000000000001" customHeight="1" x14ac:dyDescent="0.4">
      <c r="B140" s="196"/>
      <c r="C140" s="197"/>
      <c r="D140" s="197"/>
      <c r="E140" s="197"/>
      <c r="F140"/>
      <c r="G140"/>
      <c r="H140"/>
      <c r="I140"/>
      <c r="J140" s="214"/>
      <c r="K140" s="214"/>
      <c r="L140" s="214"/>
      <c r="M140" s="214"/>
      <c r="N140" s="214"/>
      <c r="O140" s="214"/>
      <c r="P140" s="214"/>
      <c r="Q140" s="198"/>
      <c r="R140" s="198"/>
      <c r="S140" s="198"/>
      <c r="T140" s="215"/>
      <c r="U140" s="198"/>
      <c r="V140" s="198"/>
      <c r="W140" s="198"/>
      <c r="X140" s="214"/>
      <c r="Y140" s="214"/>
      <c r="Z140" s="214"/>
      <c r="AA140" s="214"/>
      <c r="AB140" s="214"/>
      <c r="AC140" s="214"/>
      <c r="AD140" s="214"/>
      <c r="AE140"/>
      <c r="AF140"/>
      <c r="AG140"/>
      <c r="AH140"/>
      <c r="AI140"/>
      <c r="AJ140"/>
      <c r="AK140"/>
      <c r="AL140"/>
      <c r="AM140"/>
      <c r="AN140"/>
      <c r="AO140"/>
      <c r="AP140"/>
    </row>
    <row r="141" spans="2:42" ht="20.100000000000001" customHeight="1" x14ac:dyDescent="0.4">
      <c r="B141" s="196"/>
      <c r="C141" s="197"/>
      <c r="D141" s="197"/>
      <c r="E141" s="197"/>
      <c r="G141"/>
      <c r="H141"/>
      <c r="I141"/>
      <c r="J141" s="198"/>
      <c r="K141" s="214"/>
      <c r="L141" s="214"/>
      <c r="M141" s="214"/>
      <c r="N141" s="214"/>
      <c r="O141" s="214"/>
      <c r="P141" s="214"/>
      <c r="Q141" s="198"/>
      <c r="R141" s="198"/>
      <c r="S141" s="198"/>
      <c r="T141" s="215"/>
      <c r="U141" s="198"/>
      <c r="V141" s="198"/>
      <c r="W141" s="198"/>
      <c r="X141" s="198"/>
      <c r="Y141" s="214"/>
      <c r="Z141" s="214"/>
      <c r="AA141" s="214"/>
      <c r="AB141" s="214"/>
      <c r="AC141" s="214"/>
      <c r="AD141" s="214"/>
      <c r="AF141"/>
      <c r="AG141"/>
      <c r="AH141"/>
      <c r="AI141" s="198"/>
      <c r="AJ141"/>
      <c r="AK141"/>
      <c r="AL141"/>
      <c r="AM141"/>
      <c r="AN141"/>
      <c r="AO141"/>
      <c r="AP141"/>
    </row>
    <row r="142" spans="2:42" ht="20.100000000000001" customHeight="1" x14ac:dyDescent="0.4">
      <c r="B142" s="196"/>
      <c r="C142" s="197"/>
      <c r="D142" s="197"/>
      <c r="E142" s="197"/>
      <c r="F142"/>
      <c r="G142"/>
      <c r="H142"/>
      <c r="I142"/>
      <c r="J142" s="214"/>
      <c r="K142" s="214"/>
      <c r="L142" s="214"/>
      <c r="M142" s="214"/>
      <c r="N142" s="214"/>
      <c r="O142" s="214"/>
      <c r="P142" s="214"/>
      <c r="Q142" s="198"/>
      <c r="R142" s="198"/>
      <c r="S142" s="198"/>
      <c r="T142" s="215"/>
      <c r="U142" s="198"/>
      <c r="V142" s="198"/>
      <c r="W142" s="198"/>
      <c r="X142" s="214"/>
      <c r="Y142" s="214"/>
      <c r="Z142" s="214"/>
      <c r="AA142" s="214"/>
      <c r="AB142" s="214"/>
      <c r="AC142" s="214"/>
      <c r="AD142" s="214"/>
      <c r="AE142"/>
      <c r="AF142"/>
      <c r="AG142"/>
      <c r="AH142"/>
      <c r="AI142"/>
      <c r="AJ142"/>
      <c r="AK142"/>
      <c r="AL142"/>
      <c r="AM142"/>
      <c r="AN142"/>
      <c r="AO142"/>
      <c r="AP142"/>
    </row>
    <row r="143" spans="2:42" ht="20.100000000000001" customHeight="1" x14ac:dyDescent="0.4">
      <c r="B143" s="196"/>
      <c r="C143" s="197"/>
      <c r="D143" s="197"/>
      <c r="E143" s="197"/>
      <c r="G143"/>
      <c r="H143"/>
      <c r="I143"/>
      <c r="J143" s="198"/>
      <c r="K143" s="214"/>
      <c r="L143" s="214"/>
      <c r="M143" s="214"/>
      <c r="N143" s="214"/>
      <c r="O143" s="214"/>
      <c r="P143" s="214"/>
      <c r="Q143" s="198"/>
      <c r="R143" s="198"/>
      <c r="S143" s="198"/>
      <c r="T143" s="215"/>
      <c r="U143" s="198"/>
      <c r="V143" s="198"/>
      <c r="W143" s="198"/>
      <c r="X143" s="198"/>
      <c r="Y143" s="214"/>
      <c r="Z143" s="214"/>
      <c r="AA143" s="214"/>
      <c r="AB143" s="214"/>
      <c r="AC143" s="214"/>
      <c r="AD143" s="214"/>
      <c r="AF143"/>
      <c r="AG143"/>
      <c r="AH143"/>
      <c r="AI143" s="198"/>
      <c r="AJ143"/>
      <c r="AK143"/>
      <c r="AL143"/>
      <c r="AM143"/>
      <c r="AN143"/>
      <c r="AO143"/>
      <c r="AP143"/>
    </row>
    <row r="144" spans="2:42" ht="20.100000000000001" customHeight="1" x14ac:dyDescent="0.4">
      <c r="B144" s="196"/>
      <c r="C144" s="197"/>
      <c r="D144" s="197"/>
      <c r="E144" s="197"/>
      <c r="F144"/>
      <c r="G144"/>
      <c r="H144"/>
      <c r="I144"/>
      <c r="J144" s="214"/>
      <c r="K144" s="214"/>
      <c r="L144" s="214"/>
      <c r="M144" s="214"/>
      <c r="N144" s="214"/>
      <c r="O144" s="214"/>
      <c r="P144" s="214"/>
      <c r="Q144" s="198"/>
      <c r="R144" s="198"/>
      <c r="S144" s="198"/>
      <c r="T144" s="215"/>
      <c r="U144" s="198"/>
      <c r="V144" s="198"/>
      <c r="W144" s="198"/>
      <c r="X144" s="214"/>
      <c r="Y144" s="214"/>
      <c r="Z144" s="214"/>
      <c r="AA144" s="214"/>
      <c r="AB144" s="214"/>
      <c r="AC144" s="214"/>
      <c r="AD144" s="214"/>
      <c r="AE144"/>
      <c r="AF144"/>
      <c r="AG144"/>
      <c r="AH144"/>
      <c r="AI144"/>
      <c r="AJ144"/>
      <c r="AK144"/>
      <c r="AL144"/>
      <c r="AM144"/>
      <c r="AN144"/>
      <c r="AO144"/>
      <c r="AP144"/>
    </row>
    <row r="145" spans="2:42" ht="20.100000000000001" customHeight="1" x14ac:dyDescent="0.4">
      <c r="B145" s="196"/>
      <c r="C145" s="197"/>
      <c r="D145" s="197"/>
      <c r="E145" s="197"/>
      <c r="G145"/>
      <c r="H145"/>
      <c r="I145"/>
      <c r="J145" s="198"/>
      <c r="K145" s="214"/>
      <c r="L145" s="214"/>
      <c r="M145" s="214"/>
      <c r="N145" s="214"/>
      <c r="O145" s="214"/>
      <c r="P145" s="214"/>
      <c r="Q145" s="198"/>
      <c r="R145" s="198"/>
      <c r="S145" s="198"/>
      <c r="T145" s="215"/>
      <c r="U145" s="198"/>
      <c r="V145" s="198"/>
      <c r="W145" s="198"/>
      <c r="X145" s="198"/>
      <c r="Y145" s="214"/>
      <c r="Z145" s="214"/>
      <c r="AA145" s="214"/>
      <c r="AB145" s="214"/>
      <c r="AC145" s="214"/>
      <c r="AD145" s="214"/>
      <c r="AF145"/>
      <c r="AG145"/>
      <c r="AH145"/>
      <c r="AI145" s="198"/>
      <c r="AJ145"/>
      <c r="AK145"/>
      <c r="AL145"/>
      <c r="AM145"/>
      <c r="AN145"/>
      <c r="AO145"/>
      <c r="AP145"/>
    </row>
    <row r="146" spans="2:42" ht="20.100000000000001" customHeight="1" x14ac:dyDescent="0.4">
      <c r="B146" s="196"/>
      <c r="C146" s="197"/>
      <c r="D146" s="197"/>
      <c r="E146" s="197"/>
      <c r="F146"/>
      <c r="G146"/>
      <c r="H146"/>
      <c r="I146"/>
      <c r="J146" s="214"/>
      <c r="K146" s="214"/>
      <c r="L146" s="214"/>
      <c r="M146" s="214"/>
      <c r="N146" s="214"/>
      <c r="O146" s="214"/>
      <c r="P146" s="214"/>
      <c r="Q146" s="198"/>
      <c r="R146" s="198"/>
      <c r="S146" s="198"/>
      <c r="T146" s="215"/>
      <c r="U146" s="198"/>
      <c r="V146" s="198"/>
      <c r="W146" s="198"/>
      <c r="X146" s="214"/>
      <c r="Y146" s="214"/>
      <c r="Z146" s="214"/>
      <c r="AA146" s="214"/>
      <c r="AB146" s="214"/>
      <c r="AC146" s="214"/>
      <c r="AD146" s="214"/>
      <c r="AE146"/>
      <c r="AF146"/>
      <c r="AG146"/>
      <c r="AH146"/>
      <c r="AI146"/>
      <c r="AJ146"/>
      <c r="AK146"/>
      <c r="AL146"/>
      <c r="AM146"/>
      <c r="AN146"/>
      <c r="AO146"/>
      <c r="AP146"/>
    </row>
    <row r="147" spans="2:42" ht="20.100000000000001" customHeight="1" x14ac:dyDescent="0.4">
      <c r="B147" s="196"/>
      <c r="C147" s="197"/>
      <c r="D147" s="197"/>
      <c r="E147" s="197"/>
      <c r="G147"/>
      <c r="H147"/>
      <c r="I147"/>
      <c r="J147" s="198"/>
      <c r="K147" s="214"/>
      <c r="L147" s="214"/>
      <c r="M147" s="214"/>
      <c r="N147" s="214"/>
      <c r="O147" s="214"/>
      <c r="P147" s="214"/>
      <c r="Q147" s="198"/>
      <c r="R147" s="198"/>
      <c r="S147" s="198"/>
      <c r="T147" s="215"/>
      <c r="U147" s="198"/>
      <c r="V147" s="198"/>
      <c r="W147" s="198"/>
      <c r="X147" s="198"/>
      <c r="Y147" s="214"/>
      <c r="Z147" s="214"/>
      <c r="AA147" s="214"/>
      <c r="AB147" s="214"/>
      <c r="AC147" s="214"/>
      <c r="AD147" s="214"/>
      <c r="AF147"/>
      <c r="AG147"/>
      <c r="AH147"/>
      <c r="AI147" s="198"/>
      <c r="AJ147"/>
      <c r="AK147"/>
      <c r="AL147"/>
      <c r="AM147"/>
      <c r="AN147"/>
      <c r="AO147"/>
      <c r="AP147"/>
    </row>
    <row r="148" spans="2:42" ht="20.100000000000001" customHeight="1" x14ac:dyDescent="0.4">
      <c r="B148" s="196"/>
      <c r="C148" s="197"/>
      <c r="D148" s="197"/>
      <c r="E148" s="197"/>
      <c r="F148"/>
      <c r="G148"/>
      <c r="H148"/>
      <c r="I148"/>
      <c r="J148" s="214"/>
      <c r="K148" s="214"/>
      <c r="L148" s="214"/>
      <c r="M148" s="214"/>
      <c r="N148" s="214"/>
      <c r="O148" s="214"/>
      <c r="P148" s="214"/>
      <c r="Q148" s="198"/>
      <c r="R148" s="198"/>
      <c r="S148" s="198"/>
      <c r="T148" s="215"/>
      <c r="U148" s="198"/>
      <c r="V148" s="198"/>
      <c r="W148" s="198"/>
      <c r="X148" s="214"/>
      <c r="Y148" s="214"/>
      <c r="Z148" s="214"/>
      <c r="AA148" s="214"/>
      <c r="AB148" s="214"/>
      <c r="AC148" s="214"/>
      <c r="AD148" s="214"/>
      <c r="AE148"/>
      <c r="AF148"/>
      <c r="AG148"/>
      <c r="AH148"/>
      <c r="AI148"/>
      <c r="AJ148"/>
      <c r="AK148"/>
      <c r="AL148"/>
      <c r="AM148"/>
      <c r="AN148"/>
      <c r="AO148"/>
      <c r="AP148"/>
    </row>
    <row r="149" spans="2:42" ht="20.100000000000001" customHeight="1" x14ac:dyDescent="0.4">
      <c r="B149" s="196"/>
      <c r="C149" s="197"/>
      <c r="D149" s="197"/>
      <c r="E149" s="197"/>
      <c r="G149"/>
      <c r="H149"/>
      <c r="I149"/>
      <c r="J149" s="198"/>
      <c r="K149" s="214"/>
      <c r="L149" s="214"/>
      <c r="M149" s="214"/>
      <c r="N149" s="214"/>
      <c r="O149" s="214"/>
      <c r="P149" s="214"/>
      <c r="Q149" s="198"/>
      <c r="R149" s="198"/>
      <c r="S149" s="198"/>
      <c r="T149" s="215"/>
      <c r="U149" s="198"/>
      <c r="V149" s="198"/>
      <c r="W149" s="198"/>
      <c r="X149" s="198"/>
      <c r="Y149" s="214"/>
      <c r="Z149" s="214"/>
      <c r="AA149" s="214"/>
      <c r="AB149" s="214"/>
      <c r="AC149" s="214"/>
      <c r="AD149" s="214"/>
      <c r="AF149"/>
      <c r="AG149"/>
      <c r="AH149"/>
      <c r="AI149" s="198"/>
      <c r="AJ149"/>
      <c r="AK149"/>
      <c r="AL149"/>
      <c r="AM149"/>
      <c r="AN149"/>
      <c r="AO149"/>
      <c r="AP149"/>
    </row>
    <row r="150" spans="2:42" ht="20.100000000000001" customHeight="1" x14ac:dyDescent="0.4">
      <c r="B150" s="196"/>
      <c r="C150" s="197"/>
      <c r="D150" s="197"/>
      <c r="E150" s="197"/>
      <c r="F150"/>
      <c r="G150"/>
      <c r="H150"/>
      <c r="I150"/>
      <c r="J150" s="214"/>
      <c r="K150" s="214"/>
      <c r="L150" s="214"/>
      <c r="M150" s="214"/>
      <c r="N150" s="214"/>
      <c r="O150" s="214"/>
      <c r="P150" s="214"/>
      <c r="Q150" s="198"/>
      <c r="R150" s="198"/>
      <c r="S150" s="198"/>
      <c r="T150" s="215"/>
      <c r="U150" s="198"/>
      <c r="V150" s="198"/>
      <c r="W150" s="198"/>
      <c r="X150" s="214"/>
      <c r="Y150" s="214"/>
      <c r="Z150" s="214"/>
      <c r="AA150" s="214"/>
      <c r="AB150" s="214"/>
      <c r="AC150" s="214"/>
      <c r="AD150" s="214"/>
      <c r="AE150"/>
      <c r="AF150"/>
      <c r="AG150"/>
      <c r="AH150"/>
      <c r="AI150"/>
      <c r="AJ150"/>
      <c r="AK150"/>
      <c r="AL150"/>
      <c r="AM150"/>
      <c r="AN150"/>
      <c r="AO150"/>
      <c r="AP150"/>
    </row>
    <row r="151" spans="2:42" ht="15.75" customHeight="1" x14ac:dyDescent="0.4">
      <c r="B151" s="196"/>
      <c r="C151" s="197"/>
      <c r="D151" s="197"/>
      <c r="E151" s="197"/>
      <c r="F151" s="196"/>
      <c r="G151" s="196"/>
      <c r="H151" s="196"/>
      <c r="I151" s="196"/>
      <c r="J151" s="196"/>
      <c r="K151" s="198"/>
      <c r="L151" s="198"/>
      <c r="M151" s="199"/>
      <c r="N151" s="200"/>
      <c r="O151" s="199"/>
      <c r="P151" s="198"/>
      <c r="Q151" s="198"/>
      <c r="R151" s="196"/>
      <c r="S151" s="196"/>
      <c r="T151" s="196"/>
      <c r="U151" s="196"/>
      <c r="V151" s="196"/>
      <c r="W151" s="201"/>
      <c r="X151" s="201"/>
      <c r="Y151" s="201"/>
      <c r="Z151" s="201"/>
      <c r="AA151" s="201"/>
      <c r="AB151" s="201"/>
    </row>
    <row r="152" spans="2:42" ht="20.25" customHeight="1" x14ac:dyDescent="0.4">
      <c r="D152" s="196"/>
      <c r="E152" s="196"/>
      <c r="F152" s="196"/>
      <c r="G152" s="196"/>
      <c r="H152" s="196"/>
      <c r="I152" s="196"/>
      <c r="J152" s="196"/>
      <c r="K152" s="196"/>
      <c r="L152" s="196"/>
      <c r="M152" s="196"/>
      <c r="N152" s="196"/>
      <c r="O152" s="196"/>
      <c r="P152" s="196"/>
      <c r="Q152" s="196"/>
      <c r="R152" s="198"/>
      <c r="S152" s="198"/>
      <c r="T152" s="198"/>
      <c r="U152" s="198"/>
      <c r="V152" s="198"/>
      <c r="W152" s="198"/>
      <c r="X152" s="198"/>
      <c r="Y152" s="198"/>
      <c r="Z152" s="198"/>
      <c r="AA152" s="216"/>
      <c r="AB152" s="216"/>
      <c r="AC152" s="216"/>
      <c r="AD152" s="216"/>
      <c r="AE152" s="216"/>
      <c r="AF152" s="216"/>
      <c r="AG152" s="216"/>
      <c r="AH152" s="216"/>
      <c r="AI152" s="216"/>
      <c r="AJ152" s="216"/>
      <c r="AK152" s="216"/>
      <c r="AL152" s="216"/>
      <c r="AM152" s="216"/>
    </row>
    <row r="153" spans="2:42" ht="30" customHeight="1" x14ac:dyDescent="0.4">
      <c r="D153" s="196"/>
      <c r="E153" s="196"/>
      <c r="F153" s="196"/>
      <c r="G153" s="196"/>
      <c r="H153" s="196"/>
      <c r="I153" s="196"/>
      <c r="J153" s="196"/>
      <c r="K153" s="196"/>
      <c r="L153" s="196"/>
      <c r="M153" s="196"/>
      <c r="N153" s="196"/>
      <c r="O153" s="196"/>
      <c r="P153" s="196"/>
      <c r="Q153" s="196"/>
      <c r="R153" s="198"/>
      <c r="S153" s="198"/>
      <c r="T153" s="198"/>
      <c r="U153" s="198"/>
      <c r="V153" s="198"/>
      <c r="W153" s="198"/>
      <c r="X153" s="198"/>
      <c r="Y153" s="198"/>
      <c r="Z153" s="198"/>
      <c r="AA153" s="217"/>
      <c r="AB153" s="217"/>
      <c r="AC153" s="217"/>
      <c r="AD153" s="209"/>
      <c r="AE153" s="209"/>
      <c r="AF153" s="209"/>
      <c r="AG153" s="209"/>
      <c r="AH153" s="209"/>
      <c r="AI153" s="209"/>
      <c r="AJ153" s="209"/>
      <c r="AK153" s="209"/>
      <c r="AL153" s="209"/>
      <c r="AM153" s="209"/>
    </row>
    <row r="154" spans="2:42" ht="30" customHeight="1" x14ac:dyDescent="0.4">
      <c r="D154" s="196"/>
      <c r="E154" s="196"/>
      <c r="F154" s="196"/>
      <c r="G154" s="196"/>
      <c r="H154" s="196"/>
      <c r="I154" s="196"/>
      <c r="J154" s="196"/>
      <c r="K154" s="196"/>
      <c r="L154" s="196"/>
      <c r="M154" s="196"/>
      <c r="N154" s="196"/>
      <c r="O154" s="196"/>
      <c r="P154" s="196"/>
      <c r="Q154" s="196"/>
      <c r="R154" s="198"/>
      <c r="S154" s="198"/>
      <c r="T154" s="198"/>
      <c r="U154" s="198"/>
      <c r="V154" s="198"/>
      <c r="W154" s="198"/>
      <c r="X154" s="198"/>
      <c r="Y154" s="198"/>
      <c r="Z154" s="198"/>
      <c r="AA154" s="216"/>
      <c r="AB154" s="216"/>
      <c r="AC154" s="216"/>
      <c r="AD154" s="218"/>
      <c r="AE154" s="218"/>
      <c r="AF154" s="218"/>
      <c r="AG154" s="218"/>
      <c r="AH154" s="218"/>
      <c r="AI154" s="218"/>
      <c r="AJ154" s="218"/>
      <c r="AK154" s="218"/>
      <c r="AL154" s="218"/>
      <c r="AM154" s="218"/>
    </row>
    <row r="155" spans="2:42" ht="30" customHeight="1" x14ac:dyDescent="0.4">
      <c r="D155" s="196"/>
      <c r="E155" s="196"/>
      <c r="F155" s="196"/>
      <c r="G155" s="196"/>
      <c r="H155" s="196"/>
      <c r="I155" s="196"/>
      <c r="J155" s="196"/>
      <c r="K155" s="196"/>
      <c r="L155" s="196"/>
      <c r="M155" s="196"/>
      <c r="N155" s="196"/>
      <c r="O155" s="196"/>
      <c r="P155" s="196"/>
      <c r="Q155" s="196"/>
      <c r="R155" s="198"/>
      <c r="S155" s="198"/>
      <c r="T155" s="198"/>
      <c r="U155" s="198"/>
      <c r="V155" s="198"/>
      <c r="W155" s="198"/>
      <c r="X155" s="198"/>
      <c r="Y155" s="198"/>
      <c r="Z155" s="198"/>
      <c r="AA155" s="216"/>
      <c r="AB155" s="216"/>
      <c r="AC155" s="216"/>
      <c r="AD155" s="218"/>
      <c r="AE155" s="218"/>
      <c r="AF155" s="218"/>
      <c r="AG155" s="218"/>
      <c r="AH155" s="218"/>
      <c r="AI155" s="218"/>
      <c r="AJ155" s="218"/>
      <c r="AK155" s="218"/>
      <c r="AL155" s="218"/>
      <c r="AM155" s="218"/>
    </row>
  </sheetData>
  <mergeCells count="514">
    <mergeCell ref="D124:I124"/>
    <mergeCell ref="J124:Q124"/>
    <mergeCell ref="R124:Z124"/>
    <mergeCell ref="AA124:AC124"/>
    <mergeCell ref="AD124:AM124"/>
    <mergeCell ref="AE10:AF10"/>
    <mergeCell ref="AG10:AP10"/>
    <mergeCell ref="AG34:AL34"/>
    <mergeCell ref="AM34:AO34"/>
    <mergeCell ref="AG65:AL65"/>
    <mergeCell ref="D122:I122"/>
    <mergeCell ref="J122:Q122"/>
    <mergeCell ref="R122:Z122"/>
    <mergeCell ref="AA122:AC122"/>
    <mergeCell ref="AD122:AM122"/>
    <mergeCell ref="D123:I123"/>
    <mergeCell ref="J123:Q123"/>
    <mergeCell ref="R123:Z123"/>
    <mergeCell ref="AA123:AC123"/>
    <mergeCell ref="AD123:AM123"/>
    <mergeCell ref="AE118:AH119"/>
    <mergeCell ref="AI118:AP119"/>
    <mergeCell ref="D121:I121"/>
    <mergeCell ref="J121:Q121"/>
    <mergeCell ref="R121:Z121"/>
    <mergeCell ref="AA121:AC121"/>
    <mergeCell ref="AD121:AM121"/>
    <mergeCell ref="X116:AD117"/>
    <mergeCell ref="AE116:AH117"/>
    <mergeCell ref="AI116:AP117"/>
    <mergeCell ref="B118:B119"/>
    <mergeCell ref="C118:E119"/>
    <mergeCell ref="F118:I119"/>
    <mergeCell ref="J118:P119"/>
    <mergeCell ref="Q118:R119"/>
    <mergeCell ref="V118:W119"/>
    <mergeCell ref="X118:AD119"/>
    <mergeCell ref="B116:B117"/>
    <mergeCell ref="C116:E117"/>
    <mergeCell ref="F116:I117"/>
    <mergeCell ref="J116:P117"/>
    <mergeCell ref="Q116:R117"/>
    <mergeCell ref="V116:W117"/>
    <mergeCell ref="B114:B115"/>
    <mergeCell ref="C114:E115"/>
    <mergeCell ref="F114:I115"/>
    <mergeCell ref="J114:P115"/>
    <mergeCell ref="Q114:R115"/>
    <mergeCell ref="V114:W115"/>
    <mergeCell ref="X114:AD115"/>
    <mergeCell ref="AE114:AH115"/>
    <mergeCell ref="AI114:AP115"/>
    <mergeCell ref="B112:B113"/>
    <mergeCell ref="C112:E113"/>
    <mergeCell ref="F112:I113"/>
    <mergeCell ref="J112:P113"/>
    <mergeCell ref="Q112:R113"/>
    <mergeCell ref="V112:W113"/>
    <mergeCell ref="X112:AD113"/>
    <mergeCell ref="AE112:AH113"/>
    <mergeCell ref="AI112:AP113"/>
    <mergeCell ref="X108:AD109"/>
    <mergeCell ref="AE108:AH109"/>
    <mergeCell ref="AI108:AP109"/>
    <mergeCell ref="B110:B111"/>
    <mergeCell ref="C110:E111"/>
    <mergeCell ref="F110:I111"/>
    <mergeCell ref="J110:P111"/>
    <mergeCell ref="Q110:R111"/>
    <mergeCell ref="V110:W111"/>
    <mergeCell ref="X110:AD111"/>
    <mergeCell ref="B108:B109"/>
    <mergeCell ref="C108:E109"/>
    <mergeCell ref="F108:I109"/>
    <mergeCell ref="J108:P109"/>
    <mergeCell ref="Q108:R109"/>
    <mergeCell ref="V108:W109"/>
    <mergeCell ref="AE110:AH111"/>
    <mergeCell ref="AI110:AP111"/>
    <mergeCell ref="AI105:AP105"/>
    <mergeCell ref="B106:B107"/>
    <mergeCell ref="C106:E107"/>
    <mergeCell ref="F106:I107"/>
    <mergeCell ref="J106:P107"/>
    <mergeCell ref="Q106:R107"/>
    <mergeCell ref="V106:W107"/>
    <mergeCell ref="X106:AD107"/>
    <mergeCell ref="AE106:AH107"/>
    <mergeCell ref="AI106:AP107"/>
    <mergeCell ref="C105:E105"/>
    <mergeCell ref="F105:I105"/>
    <mergeCell ref="J105:P105"/>
    <mergeCell ref="Q105:W105"/>
    <mergeCell ref="X105:AD105"/>
    <mergeCell ref="AE105:AH105"/>
    <mergeCell ref="C102:D102"/>
    <mergeCell ref="E102:N102"/>
    <mergeCell ref="Q102:R102"/>
    <mergeCell ref="S102:AB102"/>
    <mergeCell ref="AE102:AF102"/>
    <mergeCell ref="AG102:AP102"/>
    <mergeCell ref="C101:D101"/>
    <mergeCell ref="E101:N101"/>
    <mergeCell ref="Q101:R101"/>
    <mergeCell ref="S101:AB101"/>
    <mergeCell ref="AE101:AF101"/>
    <mergeCell ref="AG101:AP101"/>
    <mergeCell ref="C100:D100"/>
    <mergeCell ref="E100:N100"/>
    <mergeCell ref="Q100:R100"/>
    <mergeCell ref="S100:AB100"/>
    <mergeCell ref="AE100:AF100"/>
    <mergeCell ref="AG100:AP100"/>
    <mergeCell ref="C99:D99"/>
    <mergeCell ref="E99:N99"/>
    <mergeCell ref="Q99:R99"/>
    <mergeCell ref="S99:AB99"/>
    <mergeCell ref="AE99:AF99"/>
    <mergeCell ref="AG99:AP99"/>
    <mergeCell ref="C98:D98"/>
    <mergeCell ref="E98:N98"/>
    <mergeCell ref="Q98:R98"/>
    <mergeCell ref="S98:AB98"/>
    <mergeCell ref="AE98:AF98"/>
    <mergeCell ref="AG98:AP98"/>
    <mergeCell ref="C96:F96"/>
    <mergeCell ref="G96:O96"/>
    <mergeCell ref="P96:S96"/>
    <mergeCell ref="T96:AB96"/>
    <mergeCell ref="AC96:AF96"/>
    <mergeCell ref="AG96:AL96"/>
    <mergeCell ref="AM96:AO96"/>
    <mergeCell ref="D93:I93"/>
    <mergeCell ref="J93:Q93"/>
    <mergeCell ref="R93:Z93"/>
    <mergeCell ref="AA93:AC93"/>
    <mergeCell ref="AD93:AM93"/>
    <mergeCell ref="A94:AQ95"/>
    <mergeCell ref="D91:I91"/>
    <mergeCell ref="J91:Q91"/>
    <mergeCell ref="R91:Z91"/>
    <mergeCell ref="AA91:AC91"/>
    <mergeCell ref="AD91:AM91"/>
    <mergeCell ref="D92:I92"/>
    <mergeCell ref="J92:Q92"/>
    <mergeCell ref="R92:Z92"/>
    <mergeCell ref="AA92:AC92"/>
    <mergeCell ref="AD92:AM92"/>
    <mergeCell ref="AE87:AH88"/>
    <mergeCell ref="AI87:AP88"/>
    <mergeCell ref="D90:I90"/>
    <mergeCell ref="J90:Q90"/>
    <mergeCell ref="R90:Z90"/>
    <mergeCell ref="AA90:AC90"/>
    <mergeCell ref="AD90:AM90"/>
    <mergeCell ref="X85:AD86"/>
    <mergeCell ref="AE85:AH86"/>
    <mergeCell ref="AI85:AP86"/>
    <mergeCell ref="B87:B88"/>
    <mergeCell ref="C87:E88"/>
    <mergeCell ref="F87:I88"/>
    <mergeCell ref="J87:P88"/>
    <mergeCell ref="Q87:R88"/>
    <mergeCell ref="V87:W88"/>
    <mergeCell ref="X87:AD88"/>
    <mergeCell ref="B85:B86"/>
    <mergeCell ref="C85:E86"/>
    <mergeCell ref="F85:I86"/>
    <mergeCell ref="J85:P86"/>
    <mergeCell ref="Q85:R86"/>
    <mergeCell ref="V85:W86"/>
    <mergeCell ref="B83:B84"/>
    <mergeCell ref="C83:E84"/>
    <mergeCell ref="F83:I84"/>
    <mergeCell ref="J83:P84"/>
    <mergeCell ref="Q83:R84"/>
    <mergeCell ref="V83:W84"/>
    <mergeCell ref="X83:AD84"/>
    <mergeCell ref="AE83:AH84"/>
    <mergeCell ref="AI83:AP84"/>
    <mergeCell ref="B81:B82"/>
    <mergeCell ref="C81:E82"/>
    <mergeCell ref="F81:I82"/>
    <mergeCell ref="J81:P82"/>
    <mergeCell ref="Q81:R82"/>
    <mergeCell ref="V81:W82"/>
    <mergeCell ref="X81:AD82"/>
    <mergeCell ref="AE81:AH82"/>
    <mergeCell ref="AI81:AP82"/>
    <mergeCell ref="X77:AD78"/>
    <mergeCell ref="AE77:AH78"/>
    <mergeCell ref="AI77:AP78"/>
    <mergeCell ref="B79:B80"/>
    <mergeCell ref="C79:E80"/>
    <mergeCell ref="F79:I80"/>
    <mergeCell ref="J79:P80"/>
    <mergeCell ref="Q79:R80"/>
    <mergeCell ref="V79:W80"/>
    <mergeCell ref="X79:AD80"/>
    <mergeCell ref="B77:B78"/>
    <mergeCell ref="C77:E78"/>
    <mergeCell ref="F77:I78"/>
    <mergeCell ref="J77:P78"/>
    <mergeCell ref="Q77:R78"/>
    <mergeCell ref="V77:W78"/>
    <mergeCell ref="AE79:AH80"/>
    <mergeCell ref="AI79:AP80"/>
    <mergeCell ref="AI74:AP74"/>
    <mergeCell ref="B75:B76"/>
    <mergeCell ref="C75:E76"/>
    <mergeCell ref="F75:I76"/>
    <mergeCell ref="J75:P76"/>
    <mergeCell ref="Q75:R76"/>
    <mergeCell ref="V75:W76"/>
    <mergeCell ref="X75:AD76"/>
    <mergeCell ref="AE75:AH76"/>
    <mergeCell ref="AI75:AP76"/>
    <mergeCell ref="C74:E74"/>
    <mergeCell ref="F74:I74"/>
    <mergeCell ref="J74:P74"/>
    <mergeCell ref="Q74:W74"/>
    <mergeCell ref="X74:AD74"/>
    <mergeCell ref="AE74:AH74"/>
    <mergeCell ref="C71:D71"/>
    <mergeCell ref="E71:N71"/>
    <mergeCell ref="Q71:R71"/>
    <mergeCell ref="S71:AB71"/>
    <mergeCell ref="AE71:AF71"/>
    <mergeCell ref="AG71:AP71"/>
    <mergeCell ref="C70:D70"/>
    <mergeCell ref="E70:N70"/>
    <mergeCell ref="Q70:R70"/>
    <mergeCell ref="S70:AB70"/>
    <mergeCell ref="AE70:AF70"/>
    <mergeCell ref="AG70:AP70"/>
    <mergeCell ref="C69:D69"/>
    <mergeCell ref="E69:N69"/>
    <mergeCell ref="Q69:R69"/>
    <mergeCell ref="S69:AB69"/>
    <mergeCell ref="AE69:AF69"/>
    <mergeCell ref="AG69:AP69"/>
    <mergeCell ref="C68:D68"/>
    <mergeCell ref="E68:N68"/>
    <mergeCell ref="Q68:R68"/>
    <mergeCell ref="S68:AB68"/>
    <mergeCell ref="AE68:AF68"/>
    <mergeCell ref="AG68:AP68"/>
    <mergeCell ref="C67:D67"/>
    <mergeCell ref="E67:N67"/>
    <mergeCell ref="Q67:R67"/>
    <mergeCell ref="S67:AB67"/>
    <mergeCell ref="AE67:AF67"/>
    <mergeCell ref="AG67:AP67"/>
    <mergeCell ref="C65:F65"/>
    <mergeCell ref="G65:O65"/>
    <mergeCell ref="P65:S65"/>
    <mergeCell ref="T65:AB65"/>
    <mergeCell ref="AC65:AF65"/>
    <mergeCell ref="AM65:AO65"/>
    <mergeCell ref="D62:I62"/>
    <mergeCell ref="J62:Q62"/>
    <mergeCell ref="R62:Z62"/>
    <mergeCell ref="AA62:AC62"/>
    <mergeCell ref="AD62:AM62"/>
    <mergeCell ref="A63:AQ64"/>
    <mergeCell ref="D60:I60"/>
    <mergeCell ref="J60:Q60"/>
    <mergeCell ref="R60:Z60"/>
    <mergeCell ref="AA60:AC60"/>
    <mergeCell ref="AD60:AM60"/>
    <mergeCell ref="D61:I61"/>
    <mergeCell ref="J61:Q61"/>
    <mergeCell ref="R61:Z61"/>
    <mergeCell ref="AA61:AC61"/>
    <mergeCell ref="AD61:AM61"/>
    <mergeCell ref="AE56:AH57"/>
    <mergeCell ref="AI56:AP57"/>
    <mergeCell ref="D59:I59"/>
    <mergeCell ref="J59:Q59"/>
    <mergeCell ref="R59:Z59"/>
    <mergeCell ref="AA59:AC59"/>
    <mergeCell ref="AD59:AM59"/>
    <mergeCell ref="X54:AD55"/>
    <mergeCell ref="AE54:AH55"/>
    <mergeCell ref="AI54:AP55"/>
    <mergeCell ref="B56:B57"/>
    <mergeCell ref="C56:E57"/>
    <mergeCell ref="F56:I57"/>
    <mergeCell ref="J56:P57"/>
    <mergeCell ref="Q56:R57"/>
    <mergeCell ref="V56:W57"/>
    <mergeCell ref="X56:AD57"/>
    <mergeCell ref="B54:B55"/>
    <mergeCell ref="C54:E55"/>
    <mergeCell ref="F54:I55"/>
    <mergeCell ref="J54:P55"/>
    <mergeCell ref="Q54:R55"/>
    <mergeCell ref="V54:W55"/>
    <mergeCell ref="B52:B53"/>
    <mergeCell ref="C52:E53"/>
    <mergeCell ref="F52:I53"/>
    <mergeCell ref="J52:P53"/>
    <mergeCell ref="Q52:R53"/>
    <mergeCell ref="V52:W53"/>
    <mergeCell ref="X52:AD53"/>
    <mergeCell ref="AE52:AH53"/>
    <mergeCell ref="AI52:AP53"/>
    <mergeCell ref="B50:B51"/>
    <mergeCell ref="C50:E51"/>
    <mergeCell ref="F50:I51"/>
    <mergeCell ref="J50:P51"/>
    <mergeCell ref="Q50:R51"/>
    <mergeCell ref="V50:W51"/>
    <mergeCell ref="X50:AD51"/>
    <mergeCell ref="AE50:AH51"/>
    <mergeCell ref="AI50:AP51"/>
    <mergeCell ref="X46:AD47"/>
    <mergeCell ref="AE46:AH47"/>
    <mergeCell ref="AI46:AP47"/>
    <mergeCell ref="B48:B49"/>
    <mergeCell ref="C48:E49"/>
    <mergeCell ref="F48:I49"/>
    <mergeCell ref="J48:P49"/>
    <mergeCell ref="Q48:R49"/>
    <mergeCell ref="V48:W49"/>
    <mergeCell ref="X48:AD49"/>
    <mergeCell ref="B46:B47"/>
    <mergeCell ref="C46:E47"/>
    <mergeCell ref="F46:I47"/>
    <mergeCell ref="J46:P47"/>
    <mergeCell ref="Q46:R47"/>
    <mergeCell ref="V46:W47"/>
    <mergeCell ref="AE48:AH49"/>
    <mergeCell ref="AI48:AP49"/>
    <mergeCell ref="AI43:AP43"/>
    <mergeCell ref="B44:B45"/>
    <mergeCell ref="C44:E45"/>
    <mergeCell ref="F44:I45"/>
    <mergeCell ref="J44:P45"/>
    <mergeCell ref="Q44:R45"/>
    <mergeCell ref="V44:W45"/>
    <mergeCell ref="X44:AD45"/>
    <mergeCell ref="AE44:AH45"/>
    <mergeCell ref="AI44:AP45"/>
    <mergeCell ref="C43:E43"/>
    <mergeCell ref="F43:I43"/>
    <mergeCell ref="J43:P43"/>
    <mergeCell ref="Q43:W43"/>
    <mergeCell ref="X43:AD43"/>
    <mergeCell ref="AE43:AH43"/>
    <mergeCell ref="C40:D40"/>
    <mergeCell ref="E40:N40"/>
    <mergeCell ref="Q40:R40"/>
    <mergeCell ref="S40:AB40"/>
    <mergeCell ref="AE40:AF40"/>
    <mergeCell ref="AG40:AP40"/>
    <mergeCell ref="C39:D39"/>
    <mergeCell ref="E39:N39"/>
    <mergeCell ref="Q39:R39"/>
    <mergeCell ref="S39:AB39"/>
    <mergeCell ref="AE39:AF39"/>
    <mergeCell ref="AG39:AP39"/>
    <mergeCell ref="C38:D38"/>
    <mergeCell ref="E38:N38"/>
    <mergeCell ref="Q38:R38"/>
    <mergeCell ref="S38:AB38"/>
    <mergeCell ref="AE38:AF38"/>
    <mergeCell ref="AG38:AP38"/>
    <mergeCell ref="C37:D37"/>
    <mergeCell ref="E37:N37"/>
    <mergeCell ref="Q37:R37"/>
    <mergeCell ref="S37:AB37"/>
    <mergeCell ref="AE37:AF37"/>
    <mergeCell ref="AG37:AP37"/>
    <mergeCell ref="C36:D36"/>
    <mergeCell ref="E36:N36"/>
    <mergeCell ref="Q36:R36"/>
    <mergeCell ref="S36:AB36"/>
    <mergeCell ref="AE36:AF36"/>
    <mergeCell ref="AG36:AP36"/>
    <mergeCell ref="C34:F34"/>
    <mergeCell ref="G34:O34"/>
    <mergeCell ref="P34:S34"/>
    <mergeCell ref="T34:AB34"/>
    <mergeCell ref="AC34:AF34"/>
    <mergeCell ref="D31:I31"/>
    <mergeCell ref="J31:Q31"/>
    <mergeCell ref="R31:Z31"/>
    <mergeCell ref="AA31:AC31"/>
    <mergeCell ref="AD31:AM31"/>
    <mergeCell ref="A32:AQ33"/>
    <mergeCell ref="D29:I29"/>
    <mergeCell ref="J29:Q29"/>
    <mergeCell ref="R29:Z29"/>
    <mergeCell ref="AA29:AC29"/>
    <mergeCell ref="AD29:AM29"/>
    <mergeCell ref="D30:I30"/>
    <mergeCell ref="J30:Q30"/>
    <mergeCell ref="R30:Z30"/>
    <mergeCell ref="AA30:AC30"/>
    <mergeCell ref="AD30:AM30"/>
    <mergeCell ref="AE25:AH26"/>
    <mergeCell ref="AI25:AP26"/>
    <mergeCell ref="D28:I28"/>
    <mergeCell ref="J28:Q28"/>
    <mergeCell ref="R28:Z28"/>
    <mergeCell ref="AA28:AC28"/>
    <mergeCell ref="AD28:AM28"/>
    <mergeCell ref="X23:AD24"/>
    <mergeCell ref="AE23:AH24"/>
    <mergeCell ref="AI23:AP24"/>
    <mergeCell ref="B25:B26"/>
    <mergeCell ref="C25:E26"/>
    <mergeCell ref="F25:I26"/>
    <mergeCell ref="J25:P26"/>
    <mergeCell ref="Q25:R26"/>
    <mergeCell ref="V25:W26"/>
    <mergeCell ref="X25:AD26"/>
    <mergeCell ref="B23:B24"/>
    <mergeCell ref="C23:E24"/>
    <mergeCell ref="F23:I24"/>
    <mergeCell ref="J23:P24"/>
    <mergeCell ref="Q23:R24"/>
    <mergeCell ref="V23:W24"/>
    <mergeCell ref="B21:B22"/>
    <mergeCell ref="C21:E22"/>
    <mergeCell ref="F21:I22"/>
    <mergeCell ref="J21:P22"/>
    <mergeCell ref="Q21:R22"/>
    <mergeCell ref="V21:W22"/>
    <mergeCell ref="X21:AD22"/>
    <mergeCell ref="AE21:AH22"/>
    <mergeCell ref="AI21:AP22"/>
    <mergeCell ref="B19:B20"/>
    <mergeCell ref="C19:E20"/>
    <mergeCell ref="F19:I20"/>
    <mergeCell ref="J19:P20"/>
    <mergeCell ref="Q19:R20"/>
    <mergeCell ref="V19:W20"/>
    <mergeCell ref="X19:AD20"/>
    <mergeCell ref="AE19:AH20"/>
    <mergeCell ref="AI19:AP20"/>
    <mergeCell ref="X15:AD16"/>
    <mergeCell ref="AE15:AH16"/>
    <mergeCell ref="AI15:AP16"/>
    <mergeCell ref="B17:B18"/>
    <mergeCell ref="C17:E18"/>
    <mergeCell ref="F17:I18"/>
    <mergeCell ref="J17:P18"/>
    <mergeCell ref="Q17:R18"/>
    <mergeCell ref="V17:W18"/>
    <mergeCell ref="X17:AD18"/>
    <mergeCell ref="B15:B16"/>
    <mergeCell ref="C15:E16"/>
    <mergeCell ref="F15:I16"/>
    <mergeCell ref="J15:P16"/>
    <mergeCell ref="Q15:R16"/>
    <mergeCell ref="V15:W16"/>
    <mergeCell ref="AE17:AH18"/>
    <mergeCell ref="AI17:AP18"/>
    <mergeCell ref="AI12:AP12"/>
    <mergeCell ref="B13:B14"/>
    <mergeCell ref="C13:E14"/>
    <mergeCell ref="F13:I14"/>
    <mergeCell ref="J13:P14"/>
    <mergeCell ref="Q13:R14"/>
    <mergeCell ref="V13:W14"/>
    <mergeCell ref="X13:AD14"/>
    <mergeCell ref="AE13:AH14"/>
    <mergeCell ref="AI13:AP14"/>
    <mergeCell ref="C12:E12"/>
    <mergeCell ref="F12:I12"/>
    <mergeCell ref="J12:P12"/>
    <mergeCell ref="Q12:W12"/>
    <mergeCell ref="X12:AD12"/>
    <mergeCell ref="AE12:AH12"/>
    <mergeCell ref="C9:D9"/>
    <mergeCell ref="E9:N9"/>
    <mergeCell ref="Q9:R9"/>
    <mergeCell ref="S9:AB9"/>
    <mergeCell ref="AE9:AF9"/>
    <mergeCell ref="AG9:AP9"/>
    <mergeCell ref="C8:D8"/>
    <mergeCell ref="E8:N8"/>
    <mergeCell ref="Q8:R8"/>
    <mergeCell ref="S8:AB8"/>
    <mergeCell ref="AE8:AF8"/>
    <mergeCell ref="AG8:AP8"/>
    <mergeCell ref="C7:D7"/>
    <mergeCell ref="E7:N7"/>
    <mergeCell ref="Q7:R7"/>
    <mergeCell ref="S7:AB7"/>
    <mergeCell ref="AE7:AF7"/>
    <mergeCell ref="AG7:AP7"/>
    <mergeCell ref="C6:D6"/>
    <mergeCell ref="E6:N6"/>
    <mergeCell ref="Q6:R6"/>
    <mergeCell ref="S6:AB6"/>
    <mergeCell ref="AE6:AF6"/>
    <mergeCell ref="AG6:AP6"/>
    <mergeCell ref="C5:D5"/>
    <mergeCell ref="E5:N5"/>
    <mergeCell ref="Q5:R5"/>
    <mergeCell ref="S5:AB5"/>
    <mergeCell ref="AE5:AF5"/>
    <mergeCell ref="AG5:AP5"/>
    <mergeCell ref="A1:AQ2"/>
    <mergeCell ref="C3:F3"/>
    <mergeCell ref="G3:O3"/>
    <mergeCell ref="P3:S3"/>
    <mergeCell ref="T3:AB3"/>
    <mergeCell ref="AC3:AF3"/>
    <mergeCell ref="AG3:AL3"/>
    <mergeCell ref="AM3:AO3"/>
  </mergeCells>
  <phoneticPr fontId="53"/>
  <conditionalFormatting sqref="C5:AB9">
    <cfRule type="expression" dxfId="36" priority="4">
      <formula>IFERROR(COUNTIF($AR$13:$AS$23,C5),"")</formula>
    </cfRule>
  </conditionalFormatting>
  <conditionalFormatting sqref="C36:AB40">
    <cfRule type="expression" dxfId="35" priority="3">
      <formula>IFERROR(COUNTIF($AR$44:$AS$54,C36),"")</formula>
    </cfRule>
  </conditionalFormatting>
  <conditionalFormatting sqref="C67:AB71">
    <cfRule type="expression" dxfId="34" priority="2">
      <formula>IFERROR(COUNTIF($AR$75:$AS$85,C67),"")</formula>
    </cfRule>
  </conditionalFormatting>
  <conditionalFormatting sqref="C98:AB102">
    <cfRule type="expression" dxfId="33" priority="1">
      <formula>IFERROR(COUNTIF($AR$106:$AS$116,C98),"")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82" orientation="landscape" r:id="rId1"/>
  <rowBreaks count="3" manualBreakCount="3">
    <brk id="31" max="16383" man="1"/>
    <brk id="62" max="16383" man="1"/>
    <brk id="93" max="4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S124"/>
  <sheetViews>
    <sheetView view="pageBreakPreview" topLeftCell="A32" zoomScaleNormal="75" zoomScaleSheetLayoutView="100" workbookViewId="0">
      <selection activeCell="A32" sqref="A32:AQ33"/>
    </sheetView>
  </sheetViews>
  <sheetFormatPr defaultColWidth="9" defaultRowHeight="14.25" x14ac:dyDescent="0.4"/>
  <cols>
    <col min="1" max="43" width="3.125" style="56" customWidth="1"/>
    <col min="44" max="45" width="3.125" style="56" hidden="1" customWidth="1"/>
    <col min="46" max="16384" width="9" style="56"/>
  </cols>
  <sheetData>
    <row r="1" spans="1:45" ht="14.25" customHeight="1" x14ac:dyDescent="0.4">
      <c r="A1" s="451" t="s">
        <v>556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51"/>
      <c r="Z1" s="451"/>
      <c r="AA1" s="451"/>
      <c r="AB1" s="451"/>
      <c r="AC1" s="451"/>
      <c r="AD1" s="451"/>
      <c r="AE1" s="451"/>
      <c r="AF1" s="451"/>
      <c r="AG1" s="451"/>
      <c r="AH1" s="451"/>
      <c r="AI1" s="451"/>
      <c r="AJ1" s="451"/>
      <c r="AK1" s="451"/>
      <c r="AL1" s="451"/>
      <c r="AM1" s="451"/>
      <c r="AN1" s="451"/>
      <c r="AO1" s="451"/>
      <c r="AP1" s="451"/>
      <c r="AQ1" s="451"/>
    </row>
    <row r="2" spans="1:45" ht="14.25" customHeight="1" x14ac:dyDescent="0.4">
      <c r="A2" s="451"/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1"/>
      <c r="AG2" s="451"/>
      <c r="AH2" s="451"/>
      <c r="AI2" s="451"/>
      <c r="AJ2" s="451"/>
      <c r="AK2" s="451"/>
      <c r="AL2" s="451"/>
      <c r="AM2" s="451"/>
      <c r="AN2" s="451"/>
      <c r="AO2" s="451"/>
      <c r="AP2" s="451"/>
      <c r="AQ2" s="451"/>
    </row>
    <row r="3" spans="1:45" ht="27.75" customHeight="1" x14ac:dyDescent="0.4">
      <c r="C3" s="460" t="s">
        <v>8</v>
      </c>
      <c r="D3" s="460"/>
      <c r="E3" s="460"/>
      <c r="F3" s="460"/>
      <c r="G3" s="482" t="str">
        <f>U12対戦スケジュール!F6</f>
        <v>平出サッカー場 Ａ</v>
      </c>
      <c r="H3" s="483"/>
      <c r="I3" s="483"/>
      <c r="J3" s="483"/>
      <c r="K3" s="483"/>
      <c r="L3" s="483"/>
      <c r="M3" s="483"/>
      <c r="N3" s="483"/>
      <c r="O3" s="483"/>
      <c r="P3" s="460" t="s">
        <v>0</v>
      </c>
      <c r="Q3" s="460"/>
      <c r="R3" s="460"/>
      <c r="S3" s="460"/>
      <c r="T3" s="482" t="str">
        <f>U12対戦スケジュール!F7</f>
        <v>雀宮ＦＣセカンド</v>
      </c>
      <c r="U3" s="483"/>
      <c r="V3" s="483"/>
      <c r="W3" s="483"/>
      <c r="X3" s="483"/>
      <c r="Y3" s="483"/>
      <c r="Z3" s="483"/>
      <c r="AA3" s="483"/>
      <c r="AB3" s="483"/>
      <c r="AC3" s="460" t="s">
        <v>9</v>
      </c>
      <c r="AD3" s="460"/>
      <c r="AE3" s="460"/>
      <c r="AF3" s="460"/>
      <c r="AG3" s="484">
        <f>U12組合せ!$B28</f>
        <v>43716</v>
      </c>
      <c r="AH3" s="485"/>
      <c r="AI3" s="485"/>
      <c r="AJ3" s="485"/>
      <c r="AK3" s="485"/>
      <c r="AL3" s="485"/>
      <c r="AM3" s="488" t="str">
        <f>"（"&amp;TEXT(AG3,"aaa")&amp;"）"</f>
        <v>（日）</v>
      </c>
      <c r="AN3" s="488"/>
      <c r="AO3" s="489"/>
    </row>
    <row r="4" spans="1:45" ht="15" customHeight="1" x14ac:dyDescent="0.4"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64"/>
      <c r="X4" s="64"/>
      <c r="Y4" s="64"/>
      <c r="Z4" s="64"/>
      <c r="AA4" s="64"/>
      <c r="AB4" s="64"/>
      <c r="AC4" s="64"/>
    </row>
    <row r="5" spans="1:45" ht="18" customHeight="1" x14ac:dyDescent="0.4">
      <c r="C5" s="475">
        <v>1</v>
      </c>
      <c r="D5" s="475"/>
      <c r="E5" s="513" t="str">
        <f>U12組合せ!$F$14</f>
        <v>ＳＵＧＡＯ ＳＣ</v>
      </c>
      <c r="F5" s="513"/>
      <c r="G5" s="513"/>
      <c r="H5" s="513"/>
      <c r="I5" s="513"/>
      <c r="J5" s="513"/>
      <c r="K5" s="513"/>
      <c r="L5" s="513"/>
      <c r="M5" s="513"/>
      <c r="N5" s="513"/>
      <c r="O5" s="58"/>
      <c r="P5" s="58"/>
      <c r="Q5" s="475">
        <v>2</v>
      </c>
      <c r="R5" s="475"/>
      <c r="S5" s="511" t="str">
        <f>U12組合せ!$F$15</f>
        <v>ＦＣグラシアス</v>
      </c>
      <c r="T5" s="513"/>
      <c r="U5" s="513"/>
      <c r="V5" s="513"/>
      <c r="W5" s="513"/>
      <c r="X5" s="513"/>
      <c r="Y5" s="513"/>
      <c r="Z5" s="513"/>
      <c r="AA5" s="513"/>
      <c r="AB5" s="513"/>
      <c r="AC5" s="68"/>
      <c r="AD5" s="55"/>
      <c r="AE5" s="475">
        <v>3</v>
      </c>
      <c r="AF5" s="475"/>
      <c r="AG5" s="511" t="str">
        <f>U12組合せ!$F$16</f>
        <v>昭和・戸祭ＳＣ-O</v>
      </c>
      <c r="AH5" s="513"/>
      <c r="AI5" s="513"/>
      <c r="AJ5" s="513"/>
      <c r="AK5" s="513"/>
      <c r="AL5" s="513"/>
      <c r="AM5" s="513"/>
      <c r="AN5" s="513"/>
      <c r="AO5" s="513"/>
      <c r="AP5" s="513"/>
    </row>
    <row r="6" spans="1:45" ht="18" customHeight="1" x14ac:dyDescent="0.4">
      <c r="C6" s="475">
        <v>4</v>
      </c>
      <c r="D6" s="475"/>
      <c r="E6" s="511" t="str">
        <f>U12組合せ!$F$17</f>
        <v>シャルムグランツＳＣ</v>
      </c>
      <c r="F6" s="513"/>
      <c r="G6" s="513"/>
      <c r="H6" s="513"/>
      <c r="I6" s="513"/>
      <c r="J6" s="513"/>
      <c r="K6" s="513"/>
      <c r="L6" s="513"/>
      <c r="M6" s="513"/>
      <c r="N6" s="513"/>
      <c r="O6" s="58"/>
      <c r="P6" s="58"/>
      <c r="Q6" s="475">
        <v>5</v>
      </c>
      <c r="R6" s="475"/>
      <c r="S6" s="511" t="str">
        <f>U12組合せ!$F$18</f>
        <v>ウエストフットコム</v>
      </c>
      <c r="T6" s="513"/>
      <c r="U6" s="513"/>
      <c r="V6" s="513"/>
      <c r="W6" s="513"/>
      <c r="X6" s="513"/>
      <c r="Y6" s="513"/>
      <c r="Z6" s="513"/>
      <c r="AA6" s="513"/>
      <c r="AB6" s="513"/>
      <c r="AC6" s="68"/>
      <c r="AD6" s="55"/>
      <c r="AE6" s="475">
        <v>6</v>
      </c>
      <c r="AF6" s="475"/>
      <c r="AG6" s="511" t="str">
        <f>U12組合せ!$F$19</f>
        <v>雀宮ＦＣセカンド</v>
      </c>
      <c r="AH6" s="513"/>
      <c r="AI6" s="513"/>
      <c r="AJ6" s="513"/>
      <c r="AK6" s="513"/>
      <c r="AL6" s="513"/>
      <c r="AM6" s="513"/>
      <c r="AN6" s="513"/>
      <c r="AO6" s="513"/>
      <c r="AP6" s="513"/>
    </row>
    <row r="7" spans="1:45" ht="18" customHeight="1" x14ac:dyDescent="0.4">
      <c r="C7" s="475">
        <v>7</v>
      </c>
      <c r="D7" s="475"/>
      <c r="E7" s="511" t="str">
        <f>U12組合せ!$F$20</f>
        <v>ともぞうＳＣ</v>
      </c>
      <c r="F7" s="513"/>
      <c r="G7" s="513"/>
      <c r="H7" s="513"/>
      <c r="I7" s="513"/>
      <c r="J7" s="513"/>
      <c r="K7" s="513"/>
      <c r="L7" s="513"/>
      <c r="M7" s="513"/>
      <c r="N7" s="513"/>
      <c r="O7" s="58"/>
      <c r="P7" s="58"/>
      <c r="Q7" s="475">
        <v>8</v>
      </c>
      <c r="R7" s="475"/>
      <c r="S7" s="511" t="str">
        <f>U12組合せ!$F$21</f>
        <v>FCブロケード・陽東U11</v>
      </c>
      <c r="T7" s="513"/>
      <c r="U7" s="513"/>
      <c r="V7" s="513"/>
      <c r="W7" s="513"/>
      <c r="X7" s="513"/>
      <c r="Y7" s="513"/>
      <c r="Z7" s="513"/>
      <c r="AA7" s="513"/>
      <c r="AB7" s="513"/>
      <c r="AC7" s="68"/>
      <c r="AD7" s="55"/>
      <c r="AE7" s="475">
        <v>9</v>
      </c>
      <c r="AF7" s="475"/>
      <c r="AG7" s="511" t="str">
        <f>U12組合せ!$F$22</f>
        <v>上三川ＳＣ</v>
      </c>
      <c r="AH7" s="513"/>
      <c r="AI7" s="513"/>
      <c r="AJ7" s="513"/>
      <c r="AK7" s="513"/>
      <c r="AL7" s="513"/>
      <c r="AM7" s="513"/>
      <c r="AN7" s="513"/>
      <c r="AO7" s="513"/>
      <c r="AP7" s="513"/>
    </row>
    <row r="8" spans="1:45" ht="18" customHeight="1" x14ac:dyDescent="0.4">
      <c r="C8" s="475"/>
      <c r="D8" s="475"/>
      <c r="E8" s="511"/>
      <c r="F8" s="476"/>
      <c r="G8" s="476"/>
      <c r="H8" s="476"/>
      <c r="I8" s="476"/>
      <c r="J8" s="476"/>
      <c r="K8" s="476"/>
      <c r="L8" s="476"/>
      <c r="M8" s="476"/>
      <c r="N8" s="476"/>
      <c r="O8" s="58"/>
      <c r="P8" s="58"/>
      <c r="Q8" s="475"/>
      <c r="R8" s="475"/>
      <c r="S8" s="511"/>
      <c r="T8" s="476"/>
      <c r="U8" s="476"/>
      <c r="V8" s="476"/>
      <c r="W8" s="476"/>
      <c r="X8" s="476"/>
      <c r="Y8" s="476"/>
      <c r="Z8" s="476"/>
      <c r="AA8" s="476"/>
      <c r="AB8" s="476"/>
      <c r="AC8" s="68"/>
      <c r="AD8" s="58"/>
      <c r="AE8" s="475"/>
      <c r="AF8" s="475"/>
      <c r="AG8" s="476"/>
      <c r="AH8" s="476"/>
      <c r="AI8" s="476"/>
      <c r="AJ8" s="476"/>
      <c r="AK8" s="476"/>
      <c r="AL8" s="476"/>
      <c r="AM8" s="476"/>
      <c r="AN8" s="476"/>
      <c r="AO8" s="476"/>
      <c r="AP8" s="476"/>
      <c r="AQ8" s="57"/>
    </row>
    <row r="9" spans="1:45" ht="18" customHeight="1" x14ac:dyDescent="0.4">
      <c r="C9" s="475"/>
      <c r="D9" s="475"/>
      <c r="E9" s="511"/>
      <c r="F9" s="476"/>
      <c r="G9" s="476"/>
      <c r="H9" s="476"/>
      <c r="I9" s="476"/>
      <c r="J9" s="476"/>
      <c r="K9" s="476"/>
      <c r="L9" s="476"/>
      <c r="M9" s="476"/>
      <c r="N9" s="476"/>
      <c r="O9" s="58"/>
      <c r="P9" s="58"/>
      <c r="Q9" s="475"/>
      <c r="R9" s="475"/>
      <c r="S9" s="511"/>
      <c r="T9" s="476"/>
      <c r="U9" s="476"/>
      <c r="V9" s="476"/>
      <c r="W9" s="476"/>
      <c r="X9" s="476"/>
      <c r="Y9" s="476"/>
      <c r="Z9" s="476"/>
      <c r="AA9" s="476"/>
      <c r="AB9" s="476"/>
      <c r="AC9" s="68"/>
      <c r="AD9" s="55"/>
      <c r="AE9" s="475"/>
      <c r="AF9" s="475"/>
      <c r="AG9" s="453"/>
      <c r="AH9" s="454"/>
      <c r="AI9" s="454"/>
      <c r="AJ9" s="454"/>
      <c r="AK9" s="454"/>
      <c r="AL9" s="454"/>
      <c r="AM9" s="454"/>
      <c r="AN9" s="454"/>
      <c r="AO9" s="454"/>
      <c r="AP9" s="455"/>
    </row>
    <row r="10" spans="1:45" ht="18" customHeight="1" x14ac:dyDescent="0.4">
      <c r="C10" s="103"/>
      <c r="D10" s="104"/>
      <c r="E10" s="104"/>
      <c r="F10" s="104"/>
      <c r="G10" s="104"/>
      <c r="H10" s="104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104"/>
      <c r="U10" s="57"/>
      <c r="V10" s="104"/>
      <c r="W10" s="57"/>
      <c r="X10" s="104"/>
      <c r="Y10" s="57"/>
      <c r="Z10" s="104"/>
      <c r="AA10" s="57"/>
      <c r="AB10" s="104"/>
      <c r="AC10" s="104"/>
    </row>
    <row r="11" spans="1:45" ht="21" customHeight="1" x14ac:dyDescent="0.4">
      <c r="B11" s="56" t="s">
        <v>568</v>
      </c>
    </row>
    <row r="12" spans="1:45" ht="20.25" customHeight="1" x14ac:dyDescent="0.4">
      <c r="B12" s="219"/>
      <c r="C12" s="456" t="s">
        <v>25</v>
      </c>
      <c r="D12" s="456"/>
      <c r="E12" s="456"/>
      <c r="F12" s="458" t="s">
        <v>26</v>
      </c>
      <c r="G12" s="459"/>
      <c r="H12" s="459"/>
      <c r="I12" s="459"/>
      <c r="J12" s="456" t="s">
        <v>27</v>
      </c>
      <c r="K12" s="457"/>
      <c r="L12" s="457"/>
      <c r="M12" s="457"/>
      <c r="N12" s="457"/>
      <c r="O12" s="457"/>
      <c r="P12" s="457"/>
      <c r="Q12" s="456" t="s">
        <v>540</v>
      </c>
      <c r="R12" s="456"/>
      <c r="S12" s="456"/>
      <c r="T12" s="456"/>
      <c r="U12" s="456"/>
      <c r="V12" s="456"/>
      <c r="W12" s="456"/>
      <c r="X12" s="456" t="s">
        <v>27</v>
      </c>
      <c r="Y12" s="457"/>
      <c r="Z12" s="457"/>
      <c r="AA12" s="457"/>
      <c r="AB12" s="457"/>
      <c r="AC12" s="457"/>
      <c r="AD12" s="457"/>
      <c r="AE12" s="458" t="s">
        <v>26</v>
      </c>
      <c r="AF12" s="459"/>
      <c r="AG12" s="459"/>
      <c r="AH12" s="459"/>
      <c r="AI12" s="456" t="s">
        <v>29</v>
      </c>
      <c r="AJ12" s="456"/>
      <c r="AK12" s="457"/>
      <c r="AL12" s="457"/>
      <c r="AM12" s="457"/>
      <c r="AN12" s="457"/>
      <c r="AO12" s="457"/>
      <c r="AP12" s="457"/>
    </row>
    <row r="13" spans="1:45" ht="20.100000000000001" customHeight="1" x14ac:dyDescent="0.4">
      <c r="B13" s="450">
        <v>1</v>
      </c>
      <c r="C13" s="452">
        <v>0.35416666666666669</v>
      </c>
      <c r="D13" s="452"/>
      <c r="E13" s="452"/>
      <c r="F13" s="443"/>
      <c r="G13" s="528"/>
      <c r="H13" s="528"/>
      <c r="I13" s="528"/>
      <c r="J13" s="445" t="str">
        <f>IFERROR(VLOOKUP(AR13,$C$5:$N$7,3,0),"")&amp;IFERROR(VLOOKUP(AR13,$Q$5:$AB$7,3,0),"")&amp;IFERROR(VLOOKUP(AR13,$AE$5:$AP$7,3,0),"")</f>
        <v>ＳＵＧＡＯ ＳＣ</v>
      </c>
      <c r="K13" s="529"/>
      <c r="L13" s="529"/>
      <c r="M13" s="529"/>
      <c r="N13" s="529"/>
      <c r="O13" s="529"/>
      <c r="P13" s="529"/>
      <c r="Q13" s="450">
        <f t="shared" ref="Q13:Q17" si="0">IF(OR(S13="",S14=""),"",S13+S14)</f>
        <v>1</v>
      </c>
      <c r="R13" s="450"/>
      <c r="S13" s="221">
        <v>1</v>
      </c>
      <c r="T13" s="221" t="s">
        <v>30</v>
      </c>
      <c r="U13" s="221">
        <v>0</v>
      </c>
      <c r="V13" s="450">
        <f t="shared" ref="V13:V17" si="1">IF(OR(U13="",U14=""),"",U13+U14)</f>
        <v>1</v>
      </c>
      <c r="W13" s="450"/>
      <c r="X13" s="447" t="str">
        <f>IFERROR(VLOOKUP(AS13,$C$5:$N$7,3,0),"")&amp;IFERROR(VLOOKUP(AS13,$Q$5:$AB$7,3,0),"")&amp;IFERROR(VLOOKUP(AS13,$AE$5:$AP$7,3,0),"")</f>
        <v>ＦＣグラシアス</v>
      </c>
      <c r="Y13" s="530"/>
      <c r="Z13" s="530"/>
      <c r="AA13" s="530"/>
      <c r="AB13" s="530"/>
      <c r="AC13" s="530"/>
      <c r="AD13" s="530"/>
      <c r="AE13" s="443"/>
      <c r="AF13" s="528"/>
      <c r="AG13" s="528"/>
      <c r="AH13" s="528"/>
      <c r="AI13" s="450" t="str">
        <f ca="1">DBCS(INDIRECT("U12対戦スケジュール!g"&amp;(ROW()-1)/2+2))</f>
        <v>４／５／５／４</v>
      </c>
      <c r="AJ13" s="528"/>
      <c r="AK13" s="528"/>
      <c r="AL13" s="528"/>
      <c r="AM13" s="528"/>
      <c r="AN13" s="528"/>
      <c r="AO13" s="528"/>
      <c r="AP13" s="528"/>
      <c r="AR13" s="56">
        <v>1</v>
      </c>
      <c r="AS13" s="56">
        <v>2</v>
      </c>
    </row>
    <row r="14" spans="1:45" ht="20.100000000000001" customHeight="1" x14ac:dyDescent="0.4">
      <c r="B14" s="450"/>
      <c r="C14" s="452"/>
      <c r="D14" s="452"/>
      <c r="E14" s="452"/>
      <c r="F14" s="528"/>
      <c r="G14" s="528"/>
      <c r="H14" s="528"/>
      <c r="I14" s="528"/>
      <c r="J14" s="529"/>
      <c r="K14" s="529"/>
      <c r="L14" s="529"/>
      <c r="M14" s="529"/>
      <c r="N14" s="529"/>
      <c r="O14" s="529"/>
      <c r="P14" s="529"/>
      <c r="Q14" s="450"/>
      <c r="R14" s="450"/>
      <c r="S14" s="221">
        <v>0</v>
      </c>
      <c r="T14" s="221" t="s">
        <v>30</v>
      </c>
      <c r="U14" s="221">
        <v>1</v>
      </c>
      <c r="V14" s="450"/>
      <c r="W14" s="450"/>
      <c r="X14" s="530"/>
      <c r="Y14" s="530"/>
      <c r="Z14" s="530"/>
      <c r="AA14" s="530"/>
      <c r="AB14" s="530"/>
      <c r="AC14" s="530"/>
      <c r="AD14" s="530"/>
      <c r="AE14" s="528"/>
      <c r="AF14" s="528"/>
      <c r="AG14" s="528"/>
      <c r="AH14" s="528"/>
      <c r="AI14" s="528"/>
      <c r="AJ14" s="528"/>
      <c r="AK14" s="528"/>
      <c r="AL14" s="528"/>
      <c r="AM14" s="528"/>
      <c r="AN14" s="528"/>
      <c r="AO14" s="528"/>
      <c r="AP14" s="528"/>
    </row>
    <row r="15" spans="1:45" ht="20.100000000000001" customHeight="1" x14ac:dyDescent="0.4">
      <c r="B15" s="450">
        <v>2</v>
      </c>
      <c r="C15" s="452">
        <v>0.3888888888888889</v>
      </c>
      <c r="D15" s="452">
        <v>0.4375</v>
      </c>
      <c r="E15" s="452"/>
      <c r="F15" s="443"/>
      <c r="G15" s="528"/>
      <c r="H15" s="528"/>
      <c r="I15" s="528"/>
      <c r="J15" s="445" t="str">
        <f t="shared" ref="J15" si="2">IFERROR(VLOOKUP(AR15,$C$5:$N$7,3,0),"")&amp;IFERROR(VLOOKUP(AR15,$Q$5:$AB$7,3,0),"")&amp;IFERROR(VLOOKUP(AR15,$AE$5:$AP$7,3,0),"")</f>
        <v>シャルムグランツＳＣ</v>
      </c>
      <c r="K15" s="529"/>
      <c r="L15" s="529"/>
      <c r="M15" s="529"/>
      <c r="N15" s="529"/>
      <c r="O15" s="529"/>
      <c r="P15" s="529"/>
      <c r="Q15" s="450">
        <f t="shared" si="0"/>
        <v>0</v>
      </c>
      <c r="R15" s="450"/>
      <c r="S15" s="221">
        <v>0</v>
      </c>
      <c r="T15" s="221" t="s">
        <v>30</v>
      </c>
      <c r="U15" s="221">
        <v>0</v>
      </c>
      <c r="V15" s="450">
        <f t="shared" si="1"/>
        <v>0</v>
      </c>
      <c r="W15" s="450"/>
      <c r="X15" s="447" t="str">
        <f t="shared" ref="X15" si="3">IFERROR(VLOOKUP(AS15,$C$5:$N$7,3,0),"")&amp;IFERROR(VLOOKUP(AS15,$Q$5:$AB$7,3,0),"")&amp;IFERROR(VLOOKUP(AS15,$AE$5:$AP$7,3,0),"")</f>
        <v>ウエストフットコム</v>
      </c>
      <c r="Y15" s="530"/>
      <c r="Z15" s="530"/>
      <c r="AA15" s="530"/>
      <c r="AB15" s="530"/>
      <c r="AC15" s="530"/>
      <c r="AD15" s="530"/>
      <c r="AE15" s="443"/>
      <c r="AF15" s="528"/>
      <c r="AG15" s="528"/>
      <c r="AH15" s="528"/>
      <c r="AI15" s="450" t="str">
        <f ca="1">DBCS(INDIRECT("U12対戦スケジュール!g"&amp;(ROW()-1)/2+2))</f>
        <v>１／２／２／１</v>
      </c>
      <c r="AJ15" s="528"/>
      <c r="AK15" s="528"/>
      <c r="AL15" s="528"/>
      <c r="AM15" s="528"/>
      <c r="AN15" s="528"/>
      <c r="AO15" s="528"/>
      <c r="AP15" s="528"/>
      <c r="AR15" s="56">
        <v>4</v>
      </c>
      <c r="AS15" s="56">
        <v>5</v>
      </c>
    </row>
    <row r="16" spans="1:45" ht="20.100000000000001" customHeight="1" x14ac:dyDescent="0.4">
      <c r="B16" s="450"/>
      <c r="C16" s="452"/>
      <c r="D16" s="452"/>
      <c r="E16" s="452"/>
      <c r="F16" s="528"/>
      <c r="G16" s="528"/>
      <c r="H16" s="528"/>
      <c r="I16" s="528"/>
      <c r="J16" s="529"/>
      <c r="K16" s="529"/>
      <c r="L16" s="529"/>
      <c r="M16" s="529"/>
      <c r="N16" s="529"/>
      <c r="O16" s="529"/>
      <c r="P16" s="529"/>
      <c r="Q16" s="450"/>
      <c r="R16" s="450"/>
      <c r="S16" s="221">
        <v>0</v>
      </c>
      <c r="T16" s="221" t="s">
        <v>30</v>
      </c>
      <c r="U16" s="221">
        <v>0</v>
      </c>
      <c r="V16" s="450"/>
      <c r="W16" s="450"/>
      <c r="X16" s="530"/>
      <c r="Y16" s="530"/>
      <c r="Z16" s="530"/>
      <c r="AA16" s="530"/>
      <c r="AB16" s="530"/>
      <c r="AC16" s="530"/>
      <c r="AD16" s="530"/>
      <c r="AE16" s="528"/>
      <c r="AF16" s="528"/>
      <c r="AG16" s="528"/>
      <c r="AH16" s="528"/>
      <c r="AI16" s="528"/>
      <c r="AJ16" s="528"/>
      <c r="AK16" s="528"/>
      <c r="AL16" s="528"/>
      <c r="AM16" s="528"/>
      <c r="AN16" s="528"/>
      <c r="AO16" s="528"/>
      <c r="AP16" s="528"/>
    </row>
    <row r="17" spans="1:45" ht="20.100000000000001" customHeight="1" x14ac:dyDescent="0.4">
      <c r="B17" s="450">
        <v>3</v>
      </c>
      <c r="C17" s="452">
        <v>0.4236111111111111</v>
      </c>
      <c r="D17" s="452"/>
      <c r="E17" s="452"/>
      <c r="F17" s="443"/>
      <c r="G17" s="528"/>
      <c r="H17" s="528"/>
      <c r="I17" s="528"/>
      <c r="J17" s="445" t="str">
        <f t="shared" ref="J17" si="4">IFERROR(VLOOKUP(AR17,$C$5:$N$7,3,0),"")&amp;IFERROR(VLOOKUP(AR17,$Q$5:$AB$7,3,0),"")&amp;IFERROR(VLOOKUP(AR17,$AE$5:$AP$7,3,0),"")</f>
        <v>昭和・戸祭ＳＣ-O</v>
      </c>
      <c r="K17" s="529"/>
      <c r="L17" s="529"/>
      <c r="M17" s="529"/>
      <c r="N17" s="529"/>
      <c r="O17" s="529"/>
      <c r="P17" s="529"/>
      <c r="Q17" s="450">
        <f t="shared" si="0"/>
        <v>7</v>
      </c>
      <c r="R17" s="450"/>
      <c r="S17" s="221">
        <v>3</v>
      </c>
      <c r="T17" s="221" t="s">
        <v>30</v>
      </c>
      <c r="U17" s="221">
        <v>1</v>
      </c>
      <c r="V17" s="450">
        <f t="shared" si="1"/>
        <v>1</v>
      </c>
      <c r="W17" s="450"/>
      <c r="X17" s="447" t="str">
        <f t="shared" ref="X17" si="5">IFERROR(VLOOKUP(AS17,$C$5:$N$7,3,0),"")&amp;IFERROR(VLOOKUP(AS17,$Q$5:$AB$7,3,0),"")&amp;IFERROR(VLOOKUP(AS17,$AE$5:$AP$7,3,0),"")</f>
        <v>ＳＵＧＡＯ ＳＣ</v>
      </c>
      <c r="Y17" s="530"/>
      <c r="Z17" s="530"/>
      <c r="AA17" s="530"/>
      <c r="AB17" s="530"/>
      <c r="AC17" s="530"/>
      <c r="AD17" s="530"/>
      <c r="AE17" s="443"/>
      <c r="AF17" s="528"/>
      <c r="AG17" s="528"/>
      <c r="AH17" s="528"/>
      <c r="AI17" s="450" t="str">
        <f ca="1">DBCS(INDIRECT("U12対戦スケジュール!g"&amp;(ROW()-1)/2+2))</f>
        <v>６／４／４／６</v>
      </c>
      <c r="AJ17" s="528"/>
      <c r="AK17" s="528"/>
      <c r="AL17" s="528"/>
      <c r="AM17" s="528"/>
      <c r="AN17" s="528"/>
      <c r="AO17" s="528"/>
      <c r="AP17" s="528"/>
      <c r="AR17" s="56">
        <v>3</v>
      </c>
      <c r="AS17" s="56">
        <v>1</v>
      </c>
    </row>
    <row r="18" spans="1:45" ht="20.100000000000001" customHeight="1" x14ac:dyDescent="0.4">
      <c r="B18" s="450"/>
      <c r="C18" s="452"/>
      <c r="D18" s="452"/>
      <c r="E18" s="452"/>
      <c r="F18" s="528"/>
      <c r="G18" s="528"/>
      <c r="H18" s="528"/>
      <c r="I18" s="528"/>
      <c r="J18" s="529"/>
      <c r="K18" s="529"/>
      <c r="L18" s="529"/>
      <c r="M18" s="529"/>
      <c r="N18" s="529"/>
      <c r="O18" s="529"/>
      <c r="P18" s="529"/>
      <c r="Q18" s="450"/>
      <c r="R18" s="450"/>
      <c r="S18" s="221">
        <v>4</v>
      </c>
      <c r="T18" s="221" t="s">
        <v>30</v>
      </c>
      <c r="U18" s="221">
        <v>0</v>
      </c>
      <c r="V18" s="450"/>
      <c r="W18" s="450"/>
      <c r="X18" s="530"/>
      <c r="Y18" s="530"/>
      <c r="Z18" s="530"/>
      <c r="AA18" s="530"/>
      <c r="AB18" s="530"/>
      <c r="AC18" s="530"/>
      <c r="AD18" s="530"/>
      <c r="AE18" s="528"/>
      <c r="AF18" s="528"/>
      <c r="AG18" s="528"/>
      <c r="AH18" s="528"/>
      <c r="AI18" s="528"/>
      <c r="AJ18" s="528"/>
      <c r="AK18" s="528"/>
      <c r="AL18" s="528"/>
      <c r="AM18" s="528"/>
      <c r="AN18" s="528"/>
      <c r="AO18" s="528"/>
      <c r="AP18" s="528"/>
    </row>
    <row r="19" spans="1:45" ht="20.100000000000001" customHeight="1" x14ac:dyDescent="0.4">
      <c r="B19" s="450">
        <v>4</v>
      </c>
      <c r="C19" s="452">
        <v>0.45833333333333331</v>
      </c>
      <c r="D19" s="452">
        <v>0.4375</v>
      </c>
      <c r="E19" s="452"/>
      <c r="F19" s="443"/>
      <c r="G19" s="528"/>
      <c r="H19" s="528"/>
      <c r="I19" s="528"/>
      <c r="J19" s="445" t="str">
        <f t="shared" ref="J19" si="6">IFERROR(VLOOKUP(AR19,$C$5:$N$7,3,0),"")&amp;IFERROR(VLOOKUP(AR19,$Q$5:$AB$7,3,0),"")&amp;IFERROR(VLOOKUP(AR19,$AE$5:$AP$7,3,0),"")</f>
        <v>雀宮ＦＣセカンド</v>
      </c>
      <c r="K19" s="529"/>
      <c r="L19" s="529"/>
      <c r="M19" s="529"/>
      <c r="N19" s="529"/>
      <c r="O19" s="529"/>
      <c r="P19" s="529"/>
      <c r="Q19" s="450">
        <f t="shared" ref="Q19:Q23" si="7">IF(OR(S19="",S20=""),"",S19+S20)</f>
        <v>0</v>
      </c>
      <c r="R19" s="450"/>
      <c r="S19" s="221">
        <v>0</v>
      </c>
      <c r="T19" s="221" t="s">
        <v>30</v>
      </c>
      <c r="U19" s="221">
        <v>1</v>
      </c>
      <c r="V19" s="450">
        <f t="shared" ref="V19:V23" si="8">IF(OR(U19="",U20=""),"",U19+U20)</f>
        <v>1</v>
      </c>
      <c r="W19" s="450"/>
      <c r="X19" s="447" t="str">
        <f t="shared" ref="X19" si="9">IFERROR(VLOOKUP(AS19,$C$5:$N$7,3,0),"")&amp;IFERROR(VLOOKUP(AS19,$Q$5:$AB$7,3,0),"")&amp;IFERROR(VLOOKUP(AS19,$AE$5:$AP$7,3,0),"")</f>
        <v>シャルムグランツＳＣ</v>
      </c>
      <c r="Y19" s="530"/>
      <c r="Z19" s="530"/>
      <c r="AA19" s="530"/>
      <c r="AB19" s="530"/>
      <c r="AC19" s="530"/>
      <c r="AD19" s="530"/>
      <c r="AE19" s="443"/>
      <c r="AF19" s="528"/>
      <c r="AG19" s="528"/>
      <c r="AH19" s="528"/>
      <c r="AI19" s="450" t="str">
        <f ca="1">DBCS(INDIRECT("U12対戦スケジュール!g"&amp;(ROW()-1)/2+2))</f>
        <v>３／１／１／３</v>
      </c>
      <c r="AJ19" s="528"/>
      <c r="AK19" s="528"/>
      <c r="AL19" s="528"/>
      <c r="AM19" s="528"/>
      <c r="AN19" s="528"/>
      <c r="AO19" s="528"/>
      <c r="AP19" s="528"/>
      <c r="AR19" s="56">
        <v>6</v>
      </c>
      <c r="AS19" s="56">
        <v>4</v>
      </c>
    </row>
    <row r="20" spans="1:45" ht="20.100000000000001" customHeight="1" x14ac:dyDescent="0.4">
      <c r="B20" s="450"/>
      <c r="C20" s="452"/>
      <c r="D20" s="452"/>
      <c r="E20" s="452"/>
      <c r="F20" s="528"/>
      <c r="G20" s="528"/>
      <c r="H20" s="528"/>
      <c r="I20" s="528"/>
      <c r="J20" s="529"/>
      <c r="K20" s="529"/>
      <c r="L20" s="529"/>
      <c r="M20" s="529"/>
      <c r="N20" s="529"/>
      <c r="O20" s="529"/>
      <c r="P20" s="529"/>
      <c r="Q20" s="450"/>
      <c r="R20" s="450"/>
      <c r="S20" s="221">
        <v>0</v>
      </c>
      <c r="T20" s="221" t="s">
        <v>30</v>
      </c>
      <c r="U20" s="221">
        <v>0</v>
      </c>
      <c r="V20" s="450"/>
      <c r="W20" s="450"/>
      <c r="X20" s="530"/>
      <c r="Y20" s="530"/>
      <c r="Z20" s="530"/>
      <c r="AA20" s="530"/>
      <c r="AB20" s="530"/>
      <c r="AC20" s="530"/>
      <c r="AD20" s="530"/>
      <c r="AE20" s="528"/>
      <c r="AF20" s="528"/>
      <c r="AG20" s="528"/>
      <c r="AH20" s="528"/>
      <c r="AI20" s="528"/>
      <c r="AJ20" s="528"/>
      <c r="AK20" s="528"/>
      <c r="AL20" s="528"/>
      <c r="AM20" s="528"/>
      <c r="AN20" s="528"/>
      <c r="AO20" s="528"/>
      <c r="AP20" s="528"/>
    </row>
    <row r="21" spans="1:45" ht="20.100000000000001" customHeight="1" x14ac:dyDescent="0.4">
      <c r="B21" s="450">
        <v>5</v>
      </c>
      <c r="C21" s="452">
        <v>0.49305555555555558</v>
      </c>
      <c r="D21" s="452"/>
      <c r="E21" s="452"/>
      <c r="F21" s="443"/>
      <c r="G21" s="528"/>
      <c r="H21" s="528"/>
      <c r="I21" s="528"/>
      <c r="J21" s="445" t="str">
        <f t="shared" ref="J21" si="10">IFERROR(VLOOKUP(AR21,$C$5:$N$7,3,0),"")&amp;IFERROR(VLOOKUP(AR21,$Q$5:$AB$7,3,0),"")&amp;IFERROR(VLOOKUP(AR21,$AE$5:$AP$7,3,0),"")</f>
        <v>ＦＣグラシアス</v>
      </c>
      <c r="K21" s="529"/>
      <c r="L21" s="529"/>
      <c r="M21" s="529"/>
      <c r="N21" s="529"/>
      <c r="O21" s="529"/>
      <c r="P21" s="529"/>
      <c r="Q21" s="450">
        <f t="shared" si="7"/>
        <v>1</v>
      </c>
      <c r="R21" s="450"/>
      <c r="S21" s="221">
        <v>0</v>
      </c>
      <c r="T21" s="221" t="s">
        <v>30</v>
      </c>
      <c r="U21" s="221">
        <v>2</v>
      </c>
      <c r="V21" s="450">
        <f t="shared" si="8"/>
        <v>6</v>
      </c>
      <c r="W21" s="450"/>
      <c r="X21" s="447" t="str">
        <f t="shared" ref="X21" si="11">IFERROR(VLOOKUP(AS21,$C$5:$N$7,3,0),"")&amp;IFERROR(VLOOKUP(AS21,$Q$5:$AB$7,3,0),"")&amp;IFERROR(VLOOKUP(AS21,$AE$5:$AP$7,3,0),"")</f>
        <v>昭和・戸祭ＳＣ-O</v>
      </c>
      <c r="Y21" s="530"/>
      <c r="Z21" s="530"/>
      <c r="AA21" s="530"/>
      <c r="AB21" s="530"/>
      <c r="AC21" s="530"/>
      <c r="AD21" s="530"/>
      <c r="AE21" s="443"/>
      <c r="AF21" s="528"/>
      <c r="AG21" s="528"/>
      <c r="AH21" s="528"/>
      <c r="AI21" s="450" t="str">
        <f ca="1">DBCS(INDIRECT("U12対戦スケジュール!g"&amp;(ROW()-1)/2+2))</f>
        <v>５／６／６／５</v>
      </c>
      <c r="AJ21" s="528"/>
      <c r="AK21" s="528"/>
      <c r="AL21" s="528"/>
      <c r="AM21" s="528"/>
      <c r="AN21" s="528"/>
      <c r="AO21" s="528"/>
      <c r="AP21" s="528"/>
      <c r="AR21" s="56">
        <v>2</v>
      </c>
      <c r="AS21" s="56">
        <v>3</v>
      </c>
    </row>
    <row r="22" spans="1:45" ht="20.100000000000001" customHeight="1" x14ac:dyDescent="0.4">
      <c r="B22" s="450"/>
      <c r="C22" s="452"/>
      <c r="D22" s="452"/>
      <c r="E22" s="452"/>
      <c r="F22" s="528"/>
      <c r="G22" s="528"/>
      <c r="H22" s="528"/>
      <c r="I22" s="528"/>
      <c r="J22" s="529"/>
      <c r="K22" s="529"/>
      <c r="L22" s="529"/>
      <c r="M22" s="529"/>
      <c r="N22" s="529"/>
      <c r="O22" s="529"/>
      <c r="P22" s="529"/>
      <c r="Q22" s="450"/>
      <c r="R22" s="450"/>
      <c r="S22" s="221">
        <v>1</v>
      </c>
      <c r="T22" s="221" t="s">
        <v>30</v>
      </c>
      <c r="U22" s="221">
        <v>4</v>
      </c>
      <c r="V22" s="450"/>
      <c r="W22" s="450"/>
      <c r="X22" s="530"/>
      <c r="Y22" s="530"/>
      <c r="Z22" s="530"/>
      <c r="AA22" s="530"/>
      <c r="AB22" s="530"/>
      <c r="AC22" s="530"/>
      <c r="AD22" s="530"/>
      <c r="AE22" s="528"/>
      <c r="AF22" s="528"/>
      <c r="AG22" s="528"/>
      <c r="AH22" s="528"/>
      <c r="AI22" s="528"/>
      <c r="AJ22" s="528"/>
      <c r="AK22" s="528"/>
      <c r="AL22" s="528"/>
      <c r="AM22" s="528"/>
      <c r="AN22" s="528"/>
      <c r="AO22" s="528"/>
      <c r="AP22" s="528"/>
    </row>
    <row r="23" spans="1:45" ht="20.100000000000001" customHeight="1" x14ac:dyDescent="0.4">
      <c r="B23" s="450">
        <v>6</v>
      </c>
      <c r="C23" s="452">
        <v>0.52777777777777779</v>
      </c>
      <c r="D23" s="452">
        <v>0.4375</v>
      </c>
      <c r="E23" s="452"/>
      <c r="F23" s="443"/>
      <c r="G23" s="528"/>
      <c r="H23" s="528"/>
      <c r="I23" s="528"/>
      <c r="J23" s="445" t="str">
        <f t="shared" ref="J23" si="12">IFERROR(VLOOKUP(AR23,$C$5:$N$7,3,0),"")&amp;IFERROR(VLOOKUP(AR23,$Q$5:$AB$7,3,0),"")&amp;IFERROR(VLOOKUP(AR23,$AE$5:$AP$7,3,0),"")</f>
        <v>ウエストフットコム</v>
      </c>
      <c r="K23" s="529"/>
      <c r="L23" s="529"/>
      <c r="M23" s="529"/>
      <c r="N23" s="529"/>
      <c r="O23" s="529"/>
      <c r="P23" s="529"/>
      <c r="Q23" s="450">
        <f t="shared" si="7"/>
        <v>0</v>
      </c>
      <c r="R23" s="450"/>
      <c r="S23" s="221">
        <v>0</v>
      </c>
      <c r="T23" s="221" t="s">
        <v>30</v>
      </c>
      <c r="U23" s="221">
        <v>0</v>
      </c>
      <c r="V23" s="450">
        <f t="shared" si="8"/>
        <v>0</v>
      </c>
      <c r="W23" s="450"/>
      <c r="X23" s="447" t="str">
        <f t="shared" ref="X23" si="13">IFERROR(VLOOKUP(AS23,$C$5:$N$7,3,0),"")&amp;IFERROR(VLOOKUP(AS23,$Q$5:$AB$7,3,0),"")&amp;IFERROR(VLOOKUP(AS23,$AE$5:$AP$7,3,0),"")</f>
        <v>雀宮ＦＣセカンド</v>
      </c>
      <c r="Y23" s="530"/>
      <c r="Z23" s="530"/>
      <c r="AA23" s="530"/>
      <c r="AB23" s="530"/>
      <c r="AC23" s="530"/>
      <c r="AD23" s="530"/>
      <c r="AE23" s="443"/>
      <c r="AF23" s="528"/>
      <c r="AG23" s="528"/>
      <c r="AH23" s="528"/>
      <c r="AI23" s="450" t="str">
        <f ca="1">DBCS(INDIRECT("U12対戦スケジュール!g"&amp;(ROW()-1)/2+2))</f>
        <v>２／３／３／２</v>
      </c>
      <c r="AJ23" s="528"/>
      <c r="AK23" s="528"/>
      <c r="AL23" s="528"/>
      <c r="AM23" s="528"/>
      <c r="AN23" s="528"/>
      <c r="AO23" s="528"/>
      <c r="AP23" s="528"/>
      <c r="AR23" s="56">
        <v>5</v>
      </c>
      <c r="AS23" s="56">
        <v>6</v>
      </c>
    </row>
    <row r="24" spans="1:45" ht="20.100000000000001" customHeight="1" x14ac:dyDescent="0.4">
      <c r="B24" s="450"/>
      <c r="C24" s="452"/>
      <c r="D24" s="452"/>
      <c r="E24" s="452"/>
      <c r="F24" s="528"/>
      <c r="G24" s="528"/>
      <c r="H24" s="528"/>
      <c r="I24" s="528"/>
      <c r="J24" s="529"/>
      <c r="K24" s="529"/>
      <c r="L24" s="529"/>
      <c r="M24" s="529"/>
      <c r="N24" s="529"/>
      <c r="O24" s="529"/>
      <c r="P24" s="529"/>
      <c r="Q24" s="450"/>
      <c r="R24" s="450"/>
      <c r="S24" s="221">
        <v>0</v>
      </c>
      <c r="T24" s="221" t="s">
        <v>30</v>
      </c>
      <c r="U24" s="221">
        <v>0</v>
      </c>
      <c r="V24" s="450"/>
      <c r="W24" s="450"/>
      <c r="X24" s="530"/>
      <c r="Y24" s="530"/>
      <c r="Z24" s="530"/>
      <c r="AA24" s="530"/>
      <c r="AB24" s="530"/>
      <c r="AC24" s="530"/>
      <c r="AD24" s="530"/>
      <c r="AE24" s="528"/>
      <c r="AF24" s="528"/>
      <c r="AG24" s="528"/>
      <c r="AH24" s="528"/>
      <c r="AI24" s="528"/>
      <c r="AJ24" s="528"/>
      <c r="AK24" s="528"/>
      <c r="AL24" s="528"/>
      <c r="AM24" s="528"/>
      <c r="AN24" s="528"/>
      <c r="AO24" s="528"/>
      <c r="AP24" s="528"/>
    </row>
    <row r="25" spans="1:45" ht="20.100000000000001" hidden="1" customHeight="1" x14ac:dyDescent="0.4">
      <c r="B25" s="450">
        <v>7</v>
      </c>
      <c r="C25" s="452">
        <v>0.5625</v>
      </c>
      <c r="D25" s="452">
        <v>0.4375</v>
      </c>
      <c r="E25" s="452"/>
      <c r="F25" s="443"/>
      <c r="G25" s="528"/>
      <c r="H25" s="528"/>
      <c r="I25" s="528"/>
      <c r="J25" s="445" t="str">
        <f t="shared" ref="J25" si="14">IFERROR(VLOOKUP(AR25,$C$5:$N$9,3,0),"")&amp;IFERROR(VLOOKUP(AR25,$Q$5:$AB$9,3,0),"")</f>
        <v/>
      </c>
      <c r="K25" s="529"/>
      <c r="L25" s="529"/>
      <c r="M25" s="529"/>
      <c r="N25" s="529"/>
      <c r="O25" s="529"/>
      <c r="P25" s="529"/>
      <c r="Q25" s="450" t="str">
        <f>IF(OR(S25="",S26=""),"",S25+S26)</f>
        <v/>
      </c>
      <c r="R25" s="450"/>
      <c r="S25" s="221"/>
      <c r="T25" s="221" t="s">
        <v>30</v>
      </c>
      <c r="U25" s="221"/>
      <c r="V25" s="450" t="str">
        <f>IF(OR(U25="",U26=""),"",U25+U26)</f>
        <v/>
      </c>
      <c r="W25" s="450"/>
      <c r="X25" s="447" t="str">
        <f t="shared" ref="X25" si="15">IFERROR(VLOOKUP(AS25,$C$5:$N$9,3,0),"")&amp;IFERROR(VLOOKUP(AS25,$Q$5:$AB$9,3,0),"")</f>
        <v/>
      </c>
      <c r="Y25" s="530"/>
      <c r="Z25" s="530"/>
      <c r="AA25" s="530"/>
      <c r="AB25" s="530"/>
      <c r="AC25" s="530"/>
      <c r="AD25" s="530"/>
      <c r="AE25" s="443"/>
      <c r="AF25" s="528"/>
      <c r="AG25" s="528"/>
      <c r="AH25" s="528"/>
      <c r="AI25" s="450" t="str">
        <f ca="1">DBCS(INDIRECT("U12対戦スケジュール!g"&amp;(ROW()-1)/2+2))</f>
        <v/>
      </c>
      <c r="AJ25" s="528"/>
      <c r="AK25" s="528"/>
      <c r="AL25" s="528"/>
      <c r="AM25" s="528"/>
      <c r="AN25" s="528"/>
      <c r="AO25" s="528"/>
      <c r="AP25" s="528"/>
    </row>
    <row r="26" spans="1:45" ht="20.100000000000001" hidden="1" customHeight="1" x14ac:dyDescent="0.4">
      <c r="B26" s="450"/>
      <c r="C26" s="452"/>
      <c r="D26" s="452"/>
      <c r="E26" s="452"/>
      <c r="F26" s="528"/>
      <c r="G26" s="528"/>
      <c r="H26" s="528"/>
      <c r="I26" s="528"/>
      <c r="J26" s="529"/>
      <c r="K26" s="529"/>
      <c r="L26" s="529"/>
      <c r="M26" s="529"/>
      <c r="N26" s="529"/>
      <c r="O26" s="529"/>
      <c r="P26" s="529"/>
      <c r="Q26" s="450"/>
      <c r="R26" s="450"/>
      <c r="S26" s="221"/>
      <c r="T26" s="221" t="s">
        <v>30</v>
      </c>
      <c r="U26" s="221"/>
      <c r="V26" s="450"/>
      <c r="W26" s="450"/>
      <c r="X26" s="530"/>
      <c r="Y26" s="530"/>
      <c r="Z26" s="530"/>
      <c r="AA26" s="530"/>
      <c r="AB26" s="530"/>
      <c r="AC26" s="530"/>
      <c r="AD26" s="530"/>
      <c r="AE26" s="528"/>
      <c r="AF26" s="528"/>
      <c r="AG26" s="528"/>
      <c r="AH26" s="528"/>
      <c r="AI26" s="528"/>
      <c r="AJ26" s="528"/>
      <c r="AK26" s="528"/>
      <c r="AL26" s="528"/>
      <c r="AM26" s="528"/>
      <c r="AN26" s="528"/>
      <c r="AO26" s="528"/>
      <c r="AP26" s="528"/>
    </row>
    <row r="27" spans="1:45" s="55" customFormat="1" ht="15.75" customHeight="1" x14ac:dyDescent="0.4">
      <c r="A27" s="58"/>
      <c r="B27" s="59"/>
      <c r="C27" s="60"/>
      <c r="D27" s="60"/>
      <c r="E27" s="60"/>
      <c r="F27" s="59"/>
      <c r="G27" s="59"/>
      <c r="H27" s="59"/>
      <c r="I27" s="59"/>
      <c r="J27" s="59"/>
      <c r="K27" s="61"/>
      <c r="L27" s="61"/>
      <c r="M27" s="62"/>
      <c r="N27" s="63"/>
      <c r="O27" s="62"/>
      <c r="P27" s="61"/>
      <c r="Q27" s="61"/>
      <c r="R27" s="59"/>
      <c r="S27" s="59"/>
      <c r="T27" s="59"/>
      <c r="U27" s="59"/>
      <c r="V27" s="59"/>
      <c r="W27" s="66"/>
      <c r="X27" s="66"/>
      <c r="Y27" s="66"/>
      <c r="Z27" s="66"/>
      <c r="AA27" s="66"/>
      <c r="AB27" s="66"/>
      <c r="AC27" s="58"/>
    </row>
    <row r="28" spans="1:45" ht="20.25" customHeight="1" x14ac:dyDescent="0.4">
      <c r="D28" s="477" t="s">
        <v>31</v>
      </c>
      <c r="E28" s="477"/>
      <c r="F28" s="477"/>
      <c r="G28" s="477"/>
      <c r="H28" s="477"/>
      <c r="I28" s="477"/>
      <c r="J28" s="477" t="s">
        <v>27</v>
      </c>
      <c r="K28" s="477"/>
      <c r="L28" s="477"/>
      <c r="M28" s="477"/>
      <c r="N28" s="477"/>
      <c r="O28" s="477"/>
      <c r="P28" s="477"/>
      <c r="Q28" s="477"/>
      <c r="R28" s="478" t="s">
        <v>32</v>
      </c>
      <c r="S28" s="478"/>
      <c r="T28" s="478"/>
      <c r="U28" s="478"/>
      <c r="V28" s="478"/>
      <c r="W28" s="478"/>
      <c r="X28" s="478"/>
      <c r="Y28" s="478"/>
      <c r="Z28" s="478"/>
      <c r="AA28" s="479" t="s">
        <v>33</v>
      </c>
      <c r="AB28" s="479"/>
      <c r="AC28" s="479"/>
      <c r="AD28" s="479" t="s">
        <v>34</v>
      </c>
      <c r="AE28" s="479"/>
      <c r="AF28" s="479"/>
      <c r="AG28" s="479"/>
      <c r="AH28" s="479"/>
      <c r="AI28" s="479"/>
      <c r="AJ28" s="479"/>
      <c r="AK28" s="479"/>
      <c r="AL28" s="479"/>
      <c r="AM28" s="479"/>
    </row>
    <row r="29" spans="1:45" ht="30" customHeight="1" x14ac:dyDescent="0.4">
      <c r="D29" s="477" t="s">
        <v>35</v>
      </c>
      <c r="E29" s="477"/>
      <c r="F29" s="477"/>
      <c r="G29" s="477"/>
      <c r="H29" s="477"/>
      <c r="I29" s="477"/>
      <c r="J29" s="477"/>
      <c r="K29" s="477"/>
      <c r="L29" s="477"/>
      <c r="M29" s="477"/>
      <c r="N29" s="477"/>
      <c r="O29" s="477"/>
      <c r="P29" s="477"/>
      <c r="Q29" s="477"/>
      <c r="R29" s="478"/>
      <c r="S29" s="478"/>
      <c r="T29" s="478"/>
      <c r="U29" s="478"/>
      <c r="V29" s="478"/>
      <c r="W29" s="478"/>
      <c r="X29" s="478"/>
      <c r="Y29" s="478"/>
      <c r="Z29" s="478"/>
      <c r="AA29" s="481"/>
      <c r="AB29" s="481"/>
      <c r="AC29" s="481"/>
      <c r="AD29" s="480"/>
      <c r="AE29" s="480"/>
      <c r="AF29" s="480"/>
      <c r="AG29" s="480"/>
      <c r="AH29" s="480"/>
      <c r="AI29" s="480"/>
      <c r="AJ29" s="480"/>
      <c r="AK29" s="480"/>
      <c r="AL29" s="480"/>
      <c r="AM29" s="480"/>
    </row>
    <row r="30" spans="1:45" ht="30" customHeight="1" x14ac:dyDescent="0.4">
      <c r="D30" s="477" t="s">
        <v>35</v>
      </c>
      <c r="E30" s="477"/>
      <c r="F30" s="477"/>
      <c r="G30" s="477"/>
      <c r="H30" s="477"/>
      <c r="I30" s="477"/>
      <c r="J30" s="477"/>
      <c r="K30" s="477"/>
      <c r="L30" s="477"/>
      <c r="M30" s="477"/>
      <c r="N30" s="477"/>
      <c r="O30" s="477"/>
      <c r="P30" s="477"/>
      <c r="Q30" s="477"/>
      <c r="R30" s="478"/>
      <c r="S30" s="478"/>
      <c r="T30" s="478"/>
      <c r="U30" s="478"/>
      <c r="V30" s="478"/>
      <c r="W30" s="478"/>
      <c r="X30" s="478"/>
      <c r="Y30" s="478"/>
      <c r="Z30" s="478"/>
      <c r="AA30" s="479"/>
      <c r="AB30" s="479"/>
      <c r="AC30" s="479"/>
      <c r="AD30" s="480"/>
      <c r="AE30" s="480"/>
      <c r="AF30" s="480"/>
      <c r="AG30" s="480"/>
      <c r="AH30" s="480"/>
      <c r="AI30" s="480"/>
      <c r="AJ30" s="480"/>
      <c r="AK30" s="480"/>
      <c r="AL30" s="480"/>
      <c r="AM30" s="480"/>
    </row>
    <row r="31" spans="1:45" ht="30" customHeight="1" x14ac:dyDescent="0.4">
      <c r="D31" s="477" t="s">
        <v>35</v>
      </c>
      <c r="E31" s="477"/>
      <c r="F31" s="477"/>
      <c r="G31" s="477"/>
      <c r="H31" s="477"/>
      <c r="I31" s="477"/>
      <c r="J31" s="477"/>
      <c r="K31" s="477"/>
      <c r="L31" s="477"/>
      <c r="M31" s="477"/>
      <c r="N31" s="477"/>
      <c r="O31" s="477"/>
      <c r="P31" s="477"/>
      <c r="Q31" s="477"/>
      <c r="R31" s="478"/>
      <c r="S31" s="478"/>
      <c r="T31" s="478"/>
      <c r="U31" s="478"/>
      <c r="V31" s="478"/>
      <c r="W31" s="478"/>
      <c r="X31" s="478"/>
      <c r="Y31" s="478"/>
      <c r="Z31" s="478"/>
      <c r="AA31" s="479"/>
      <c r="AB31" s="479"/>
      <c r="AC31" s="479"/>
      <c r="AD31" s="480"/>
      <c r="AE31" s="480"/>
      <c r="AF31" s="480"/>
      <c r="AG31" s="480"/>
      <c r="AH31" s="480"/>
      <c r="AI31" s="480"/>
      <c r="AJ31" s="480"/>
      <c r="AK31" s="480"/>
      <c r="AL31" s="480"/>
      <c r="AM31" s="480"/>
    </row>
    <row r="32" spans="1:45" ht="14.25" customHeight="1" x14ac:dyDescent="0.4">
      <c r="A32" s="451" t="s">
        <v>557</v>
      </c>
      <c r="B32" s="451"/>
      <c r="C32" s="451"/>
      <c r="D32" s="451"/>
      <c r="E32" s="451"/>
      <c r="F32" s="451"/>
      <c r="G32" s="451"/>
      <c r="H32" s="451"/>
      <c r="I32" s="451"/>
      <c r="J32" s="451"/>
      <c r="K32" s="451"/>
      <c r="L32" s="451"/>
      <c r="M32" s="451"/>
      <c r="N32" s="451"/>
      <c r="O32" s="451"/>
      <c r="P32" s="451"/>
      <c r="Q32" s="451"/>
      <c r="R32" s="451"/>
      <c r="S32" s="451"/>
      <c r="T32" s="451"/>
      <c r="U32" s="451"/>
      <c r="V32" s="451"/>
      <c r="W32" s="451"/>
      <c r="X32" s="451"/>
      <c r="Y32" s="451"/>
      <c r="Z32" s="451"/>
      <c r="AA32" s="451"/>
      <c r="AB32" s="451"/>
      <c r="AC32" s="451"/>
      <c r="AD32" s="451"/>
      <c r="AE32" s="451"/>
      <c r="AF32" s="451"/>
      <c r="AG32" s="451"/>
      <c r="AH32" s="451"/>
      <c r="AI32" s="451"/>
      <c r="AJ32" s="451"/>
      <c r="AK32" s="451"/>
      <c r="AL32" s="451"/>
      <c r="AM32" s="451"/>
      <c r="AN32" s="451"/>
      <c r="AO32" s="451"/>
      <c r="AP32" s="451"/>
      <c r="AQ32" s="451"/>
    </row>
    <row r="33" spans="1:45" ht="14.25" customHeight="1" x14ac:dyDescent="0.4">
      <c r="A33" s="451"/>
      <c r="B33" s="451"/>
      <c r="C33" s="451"/>
      <c r="D33" s="451"/>
      <c r="E33" s="451"/>
      <c r="F33" s="451"/>
      <c r="G33" s="451"/>
      <c r="H33" s="451"/>
      <c r="I33" s="451"/>
      <c r="J33" s="451"/>
      <c r="K33" s="451"/>
      <c r="L33" s="451"/>
      <c r="M33" s="451"/>
      <c r="N33" s="451"/>
      <c r="O33" s="451"/>
      <c r="P33" s="451"/>
      <c r="Q33" s="451"/>
      <c r="R33" s="451"/>
      <c r="S33" s="451"/>
      <c r="T33" s="451"/>
      <c r="U33" s="451"/>
      <c r="V33" s="451"/>
      <c r="W33" s="451"/>
      <c r="X33" s="451"/>
      <c r="Y33" s="451"/>
      <c r="Z33" s="451"/>
      <c r="AA33" s="451"/>
      <c r="AB33" s="451"/>
      <c r="AC33" s="451"/>
      <c r="AD33" s="451"/>
      <c r="AE33" s="451"/>
      <c r="AF33" s="451"/>
      <c r="AG33" s="451"/>
      <c r="AH33" s="451"/>
      <c r="AI33" s="451"/>
      <c r="AJ33" s="451"/>
      <c r="AK33" s="451"/>
      <c r="AL33" s="451"/>
      <c r="AM33" s="451"/>
      <c r="AN33" s="451"/>
      <c r="AO33" s="451"/>
      <c r="AP33" s="451"/>
      <c r="AQ33" s="451"/>
    </row>
    <row r="34" spans="1:45" ht="27.75" customHeight="1" x14ac:dyDescent="0.4">
      <c r="C34" s="460" t="s">
        <v>8</v>
      </c>
      <c r="D34" s="460"/>
      <c r="E34" s="460"/>
      <c r="F34" s="460"/>
      <c r="G34" s="461" t="str">
        <f>U12対戦スケジュール!F28</f>
        <v>姿川第一小学校</v>
      </c>
      <c r="H34" s="462"/>
      <c r="I34" s="462"/>
      <c r="J34" s="462"/>
      <c r="K34" s="462"/>
      <c r="L34" s="462"/>
      <c r="M34" s="462"/>
      <c r="N34" s="462"/>
      <c r="O34" s="462"/>
      <c r="P34" s="460" t="s">
        <v>0</v>
      </c>
      <c r="Q34" s="460"/>
      <c r="R34" s="460"/>
      <c r="S34" s="460"/>
      <c r="T34" s="482" t="str">
        <f>U12対戦スケジュール!F29</f>
        <v>ウエストフットコム</v>
      </c>
      <c r="U34" s="483"/>
      <c r="V34" s="483"/>
      <c r="W34" s="483"/>
      <c r="X34" s="483"/>
      <c r="Y34" s="483"/>
      <c r="Z34" s="483"/>
      <c r="AA34" s="483"/>
      <c r="AB34" s="483"/>
      <c r="AC34" s="460" t="s">
        <v>9</v>
      </c>
      <c r="AD34" s="460"/>
      <c r="AE34" s="460"/>
      <c r="AF34" s="460"/>
      <c r="AG34" s="484">
        <f>U12組合せ!$B32</f>
        <v>43737</v>
      </c>
      <c r="AH34" s="485"/>
      <c r="AI34" s="485"/>
      <c r="AJ34" s="485"/>
      <c r="AK34" s="485"/>
      <c r="AL34" s="485"/>
      <c r="AM34" s="488" t="str">
        <f>"（"&amp;TEXT(AG34,"aaa")&amp;"）"</f>
        <v>（日）</v>
      </c>
      <c r="AN34" s="488"/>
      <c r="AO34" s="489"/>
    </row>
    <row r="35" spans="1:45" ht="15" customHeight="1" x14ac:dyDescent="0.4"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64"/>
      <c r="X35" s="64"/>
      <c r="Y35" s="64"/>
      <c r="Z35" s="64"/>
      <c r="AA35" s="64"/>
      <c r="AB35" s="64"/>
      <c r="AC35" s="64"/>
    </row>
    <row r="36" spans="1:45" ht="18" customHeight="1" x14ac:dyDescent="0.4">
      <c r="C36" s="475">
        <v>1</v>
      </c>
      <c r="D36" s="475"/>
      <c r="E36" s="513" t="str">
        <f>U12組合せ!$F$14</f>
        <v>ＳＵＧＡＯ ＳＣ</v>
      </c>
      <c r="F36" s="513"/>
      <c r="G36" s="513"/>
      <c r="H36" s="513"/>
      <c r="I36" s="513"/>
      <c r="J36" s="513"/>
      <c r="K36" s="513"/>
      <c r="L36" s="513"/>
      <c r="M36" s="513"/>
      <c r="N36" s="513"/>
      <c r="O36" s="58"/>
      <c r="P36" s="58"/>
      <c r="Q36" s="475">
        <v>2</v>
      </c>
      <c r="R36" s="475"/>
      <c r="S36" s="511" t="str">
        <f>U12組合せ!$F$15</f>
        <v>ＦＣグラシアス</v>
      </c>
      <c r="T36" s="513"/>
      <c r="U36" s="513"/>
      <c r="V36" s="513"/>
      <c r="W36" s="513"/>
      <c r="X36" s="513"/>
      <c r="Y36" s="513"/>
      <c r="Z36" s="513"/>
      <c r="AA36" s="513"/>
      <c r="AB36" s="513"/>
      <c r="AC36" s="68"/>
      <c r="AD36" s="55"/>
      <c r="AE36" s="475">
        <v>3</v>
      </c>
      <c r="AF36" s="475"/>
      <c r="AG36" s="511" t="str">
        <f>U12組合せ!$F$16</f>
        <v>昭和・戸祭ＳＣ-O</v>
      </c>
      <c r="AH36" s="513"/>
      <c r="AI36" s="513"/>
      <c r="AJ36" s="513"/>
      <c r="AK36" s="513"/>
      <c r="AL36" s="513"/>
      <c r="AM36" s="513"/>
      <c r="AN36" s="513"/>
      <c r="AO36" s="513"/>
      <c r="AP36" s="513"/>
    </row>
    <row r="37" spans="1:45" ht="18" customHeight="1" x14ac:dyDescent="0.4">
      <c r="C37" s="475">
        <v>4</v>
      </c>
      <c r="D37" s="475"/>
      <c r="E37" s="511" t="str">
        <f>U12組合せ!$F$17</f>
        <v>シャルムグランツＳＣ</v>
      </c>
      <c r="F37" s="513"/>
      <c r="G37" s="513"/>
      <c r="H37" s="513"/>
      <c r="I37" s="513"/>
      <c r="J37" s="513"/>
      <c r="K37" s="513"/>
      <c r="L37" s="513"/>
      <c r="M37" s="513"/>
      <c r="N37" s="513"/>
      <c r="O37" s="58"/>
      <c r="P37" s="58"/>
      <c r="Q37" s="475">
        <v>5</v>
      </c>
      <c r="R37" s="475"/>
      <c r="S37" s="511" t="str">
        <f>U12組合せ!$F$18</f>
        <v>ウエストフットコム</v>
      </c>
      <c r="T37" s="513"/>
      <c r="U37" s="513"/>
      <c r="V37" s="513"/>
      <c r="W37" s="513"/>
      <c r="X37" s="513"/>
      <c r="Y37" s="513"/>
      <c r="Z37" s="513"/>
      <c r="AA37" s="513"/>
      <c r="AB37" s="513"/>
      <c r="AC37" s="68"/>
      <c r="AD37" s="55"/>
      <c r="AE37" s="475">
        <v>6</v>
      </c>
      <c r="AF37" s="475"/>
      <c r="AG37" s="511" t="str">
        <f>U12組合せ!$F$19</f>
        <v>雀宮ＦＣセカンド</v>
      </c>
      <c r="AH37" s="513"/>
      <c r="AI37" s="513"/>
      <c r="AJ37" s="513"/>
      <c r="AK37" s="513"/>
      <c r="AL37" s="513"/>
      <c r="AM37" s="513"/>
      <c r="AN37" s="513"/>
      <c r="AO37" s="513"/>
      <c r="AP37" s="513"/>
    </row>
    <row r="38" spans="1:45" ht="18" customHeight="1" x14ac:dyDescent="0.4">
      <c r="C38" s="475">
        <v>7</v>
      </c>
      <c r="D38" s="475"/>
      <c r="E38" s="511" t="str">
        <f>U12組合せ!$F$20</f>
        <v>ともぞうＳＣ</v>
      </c>
      <c r="F38" s="513"/>
      <c r="G38" s="513"/>
      <c r="H38" s="513"/>
      <c r="I38" s="513"/>
      <c r="J38" s="513"/>
      <c r="K38" s="513"/>
      <c r="L38" s="513"/>
      <c r="M38" s="513"/>
      <c r="N38" s="513"/>
      <c r="O38" s="58"/>
      <c r="P38" s="58"/>
      <c r="Q38" s="475">
        <v>8</v>
      </c>
      <c r="R38" s="475"/>
      <c r="S38" s="511" t="str">
        <f>U12組合せ!$F$21</f>
        <v>FCブロケード・陽東U11</v>
      </c>
      <c r="T38" s="513"/>
      <c r="U38" s="513"/>
      <c r="V38" s="513"/>
      <c r="W38" s="513"/>
      <c r="X38" s="513"/>
      <c r="Y38" s="513"/>
      <c r="Z38" s="513"/>
      <c r="AA38" s="513"/>
      <c r="AB38" s="513"/>
      <c r="AC38" s="68"/>
      <c r="AD38" s="55"/>
      <c r="AE38" s="475">
        <v>9</v>
      </c>
      <c r="AF38" s="475"/>
      <c r="AG38" s="511" t="str">
        <f>U12組合せ!$F$22</f>
        <v>上三川ＳＣ</v>
      </c>
      <c r="AH38" s="513"/>
      <c r="AI38" s="513"/>
      <c r="AJ38" s="513"/>
      <c r="AK38" s="513"/>
      <c r="AL38" s="513"/>
      <c r="AM38" s="513"/>
      <c r="AN38" s="513"/>
      <c r="AO38" s="513"/>
      <c r="AP38" s="513"/>
    </row>
    <row r="39" spans="1:45" ht="18" customHeight="1" x14ac:dyDescent="0.4">
      <c r="C39" s="475"/>
      <c r="D39" s="475"/>
      <c r="E39" s="511"/>
      <c r="F39" s="476"/>
      <c r="G39" s="476"/>
      <c r="H39" s="476"/>
      <c r="I39" s="476"/>
      <c r="J39" s="476"/>
      <c r="K39" s="476"/>
      <c r="L39" s="476"/>
      <c r="M39" s="476"/>
      <c r="N39" s="476"/>
      <c r="O39" s="58"/>
      <c r="P39" s="58"/>
      <c r="Q39" s="475"/>
      <c r="R39" s="475"/>
      <c r="S39" s="511"/>
      <c r="T39" s="476"/>
      <c r="U39" s="476"/>
      <c r="V39" s="476"/>
      <c r="W39" s="476"/>
      <c r="X39" s="476"/>
      <c r="Y39" s="476"/>
      <c r="Z39" s="476"/>
      <c r="AA39" s="476"/>
      <c r="AB39" s="476"/>
      <c r="AC39" s="68"/>
      <c r="AD39" s="58"/>
      <c r="AE39" s="475"/>
      <c r="AF39" s="475"/>
      <c r="AG39" s="476"/>
      <c r="AH39" s="476"/>
      <c r="AI39" s="476"/>
      <c r="AJ39" s="476"/>
      <c r="AK39" s="476"/>
      <c r="AL39" s="476"/>
      <c r="AM39" s="476"/>
      <c r="AN39" s="476"/>
      <c r="AO39" s="476"/>
      <c r="AP39" s="476"/>
      <c r="AQ39" s="57"/>
    </row>
    <row r="40" spans="1:45" ht="18" customHeight="1" x14ac:dyDescent="0.4">
      <c r="C40" s="475"/>
      <c r="D40" s="475"/>
      <c r="E40" s="511"/>
      <c r="F40" s="476"/>
      <c r="G40" s="476"/>
      <c r="H40" s="476"/>
      <c r="I40" s="476"/>
      <c r="J40" s="476"/>
      <c r="K40" s="476"/>
      <c r="L40" s="476"/>
      <c r="M40" s="476"/>
      <c r="N40" s="476"/>
      <c r="O40" s="58"/>
      <c r="P40" s="58"/>
      <c r="Q40" s="475"/>
      <c r="R40" s="475"/>
      <c r="S40" s="511"/>
      <c r="T40" s="476"/>
      <c r="U40" s="476"/>
      <c r="V40" s="476"/>
      <c r="W40" s="476"/>
      <c r="X40" s="476"/>
      <c r="Y40" s="476"/>
      <c r="Z40" s="476"/>
      <c r="AA40" s="476"/>
      <c r="AB40" s="476"/>
      <c r="AC40" s="68"/>
      <c r="AD40" s="55"/>
      <c r="AE40" s="475"/>
      <c r="AF40" s="475"/>
      <c r="AG40" s="453"/>
      <c r="AH40" s="454"/>
      <c r="AI40" s="454"/>
      <c r="AJ40" s="454"/>
      <c r="AK40" s="454"/>
      <c r="AL40" s="454"/>
      <c r="AM40" s="454"/>
      <c r="AN40" s="454"/>
      <c r="AO40" s="454"/>
      <c r="AP40" s="455"/>
    </row>
    <row r="41" spans="1:45" ht="15" customHeight="1" x14ac:dyDescent="0.4">
      <c r="C41" s="103"/>
      <c r="D41" s="104"/>
      <c r="E41" s="104"/>
      <c r="F41" s="104"/>
      <c r="G41" s="104"/>
      <c r="H41" s="104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</row>
    <row r="42" spans="1:45" ht="21" customHeight="1" x14ac:dyDescent="0.4">
      <c r="B42" s="56" t="s">
        <v>568</v>
      </c>
    </row>
    <row r="43" spans="1:45" ht="20.25" customHeight="1" x14ac:dyDescent="0.4">
      <c r="B43" s="219"/>
      <c r="C43" s="456" t="s">
        <v>25</v>
      </c>
      <c r="D43" s="456"/>
      <c r="E43" s="456"/>
      <c r="F43" s="458" t="s">
        <v>26</v>
      </c>
      <c r="G43" s="459"/>
      <c r="H43" s="459"/>
      <c r="I43" s="459"/>
      <c r="J43" s="456" t="s">
        <v>27</v>
      </c>
      <c r="K43" s="457"/>
      <c r="L43" s="457"/>
      <c r="M43" s="457"/>
      <c r="N43" s="457"/>
      <c r="O43" s="457"/>
      <c r="P43" s="457"/>
      <c r="Q43" s="456" t="s">
        <v>540</v>
      </c>
      <c r="R43" s="456"/>
      <c r="S43" s="456"/>
      <c r="T43" s="456"/>
      <c r="U43" s="456"/>
      <c r="V43" s="456"/>
      <c r="W43" s="456"/>
      <c r="X43" s="456" t="s">
        <v>27</v>
      </c>
      <c r="Y43" s="457"/>
      <c r="Z43" s="457"/>
      <c r="AA43" s="457"/>
      <c r="AB43" s="457"/>
      <c r="AC43" s="457"/>
      <c r="AD43" s="457"/>
      <c r="AE43" s="458" t="s">
        <v>26</v>
      </c>
      <c r="AF43" s="459"/>
      <c r="AG43" s="459"/>
      <c r="AH43" s="459"/>
      <c r="AI43" s="456" t="s">
        <v>29</v>
      </c>
      <c r="AJ43" s="456"/>
      <c r="AK43" s="457"/>
      <c r="AL43" s="457"/>
      <c r="AM43" s="457"/>
      <c r="AN43" s="457"/>
      <c r="AO43" s="457"/>
      <c r="AP43" s="457"/>
    </row>
    <row r="44" spans="1:45" ht="20.100000000000001" customHeight="1" x14ac:dyDescent="0.4">
      <c r="B44" s="472">
        <v>1</v>
      </c>
      <c r="C44" s="452">
        <v>0.35416666666666669</v>
      </c>
      <c r="D44" s="452"/>
      <c r="E44" s="452"/>
      <c r="F44" s="443"/>
      <c r="G44" s="528"/>
      <c r="H44" s="528"/>
      <c r="I44" s="528"/>
      <c r="J44" s="445" t="str">
        <f>IFERROR(VLOOKUP(AR44,$C$36:$N$38,3,0),"")&amp;IFERROR(VLOOKUP(AR44,$Q$36:$AB$38,3,0),"")&amp;IFERROR(VLOOKUP(AR44,$AE$36:$AP$38,3,0),"")</f>
        <v>FCブロケード・陽東U11</v>
      </c>
      <c r="K44" s="529"/>
      <c r="L44" s="529"/>
      <c r="M44" s="529"/>
      <c r="N44" s="529"/>
      <c r="O44" s="529"/>
      <c r="P44" s="529"/>
      <c r="Q44" s="450">
        <f t="shared" ref="Q44:Q48" si="16">IF(OR(S44="",S45=""),"",S44+S45)</f>
        <v>1</v>
      </c>
      <c r="R44" s="450"/>
      <c r="S44" s="224">
        <v>1</v>
      </c>
      <c r="T44" s="227" t="s">
        <v>30</v>
      </c>
      <c r="U44" s="224">
        <v>0</v>
      </c>
      <c r="V44" s="450">
        <f t="shared" ref="V44:V48" si="17">IF(OR(U44="",U45=""),"",U44+U45)</f>
        <v>2</v>
      </c>
      <c r="W44" s="450"/>
      <c r="X44" s="447" t="str">
        <f>IFERROR(VLOOKUP(AS44,$C$36:$N$38,3,0),"")&amp;IFERROR(VLOOKUP(AS44,$Q$36:$AB$38,3,0),"")&amp;IFERROR(VLOOKUP(AS44,$AE$36:$AP$38,3,0),"")</f>
        <v>ＦＣグラシアス</v>
      </c>
      <c r="Y44" s="530"/>
      <c r="Z44" s="530"/>
      <c r="AA44" s="530"/>
      <c r="AB44" s="530"/>
      <c r="AC44" s="530"/>
      <c r="AD44" s="530"/>
      <c r="AE44" s="443"/>
      <c r="AF44" s="528"/>
      <c r="AG44" s="528"/>
      <c r="AH44" s="528"/>
      <c r="AI44" s="450" t="str">
        <f ca="1">DBCS(INDIRECT("U12対戦スケジュール!g"&amp;(ROW()/2+8)))</f>
        <v>７／１／１／７</v>
      </c>
      <c r="AJ44" s="528"/>
      <c r="AK44" s="528"/>
      <c r="AL44" s="528"/>
      <c r="AM44" s="528"/>
      <c r="AN44" s="528"/>
      <c r="AO44" s="528"/>
      <c r="AP44" s="528"/>
      <c r="AR44" s="56">
        <v>8</v>
      </c>
      <c r="AS44" s="56">
        <v>2</v>
      </c>
    </row>
    <row r="45" spans="1:45" ht="20.100000000000001" customHeight="1" x14ac:dyDescent="0.4">
      <c r="B45" s="472"/>
      <c r="C45" s="452"/>
      <c r="D45" s="452"/>
      <c r="E45" s="452"/>
      <c r="F45" s="528"/>
      <c r="G45" s="528"/>
      <c r="H45" s="528"/>
      <c r="I45" s="528"/>
      <c r="J45" s="529"/>
      <c r="K45" s="529"/>
      <c r="L45" s="529"/>
      <c r="M45" s="529"/>
      <c r="N45" s="529"/>
      <c r="O45" s="529"/>
      <c r="P45" s="529"/>
      <c r="Q45" s="450"/>
      <c r="R45" s="450"/>
      <c r="S45" s="224">
        <v>0</v>
      </c>
      <c r="T45" s="227" t="s">
        <v>30</v>
      </c>
      <c r="U45" s="224">
        <v>2</v>
      </c>
      <c r="V45" s="450"/>
      <c r="W45" s="450"/>
      <c r="X45" s="530"/>
      <c r="Y45" s="530"/>
      <c r="Z45" s="530"/>
      <c r="AA45" s="530"/>
      <c r="AB45" s="530"/>
      <c r="AC45" s="530"/>
      <c r="AD45" s="530"/>
      <c r="AE45" s="528"/>
      <c r="AF45" s="528"/>
      <c r="AG45" s="528"/>
      <c r="AH45" s="528"/>
      <c r="AI45" s="528"/>
      <c r="AJ45" s="528"/>
      <c r="AK45" s="528"/>
      <c r="AL45" s="528"/>
      <c r="AM45" s="528"/>
      <c r="AN45" s="528"/>
      <c r="AO45" s="528"/>
      <c r="AP45" s="528"/>
    </row>
    <row r="46" spans="1:45" ht="20.100000000000001" customHeight="1" x14ac:dyDescent="0.4">
      <c r="B46" s="472">
        <v>2</v>
      </c>
      <c r="C46" s="452">
        <v>0.3888888888888889</v>
      </c>
      <c r="D46" s="452">
        <v>0.4375</v>
      </c>
      <c r="E46" s="452"/>
      <c r="F46" s="443"/>
      <c r="G46" s="528"/>
      <c r="H46" s="528"/>
      <c r="I46" s="528"/>
      <c r="J46" s="445" t="str">
        <f t="shared" ref="J46" si="18">IFERROR(VLOOKUP(AR46,$C$36:$N$38,3,0),"")&amp;IFERROR(VLOOKUP(AR46,$Q$36:$AB$38,3,0),"")&amp;IFERROR(VLOOKUP(AR46,$AE$36:$AP$38,3,0),"")</f>
        <v>ともぞうＳＣ</v>
      </c>
      <c r="K46" s="529"/>
      <c r="L46" s="529"/>
      <c r="M46" s="529"/>
      <c r="N46" s="529"/>
      <c r="O46" s="529"/>
      <c r="P46" s="529"/>
      <c r="Q46" s="450">
        <f t="shared" si="16"/>
        <v>3</v>
      </c>
      <c r="R46" s="450"/>
      <c r="S46" s="224">
        <v>2</v>
      </c>
      <c r="T46" s="227" t="s">
        <v>30</v>
      </c>
      <c r="U46" s="224">
        <v>0</v>
      </c>
      <c r="V46" s="450">
        <f t="shared" si="17"/>
        <v>0</v>
      </c>
      <c r="W46" s="450"/>
      <c r="X46" s="447" t="str">
        <f t="shared" ref="X46" si="19">IFERROR(VLOOKUP(AS46,$C$36:$N$38,3,0),"")&amp;IFERROR(VLOOKUP(AS46,$Q$36:$AB$38,3,0),"")&amp;IFERROR(VLOOKUP(AS46,$AE$36:$AP$38,3,0),"")</f>
        <v>ＳＵＧＡＯ ＳＣ</v>
      </c>
      <c r="Y46" s="530"/>
      <c r="Z46" s="530"/>
      <c r="AA46" s="530"/>
      <c r="AB46" s="530"/>
      <c r="AC46" s="530"/>
      <c r="AD46" s="530"/>
      <c r="AE46" s="443"/>
      <c r="AF46" s="528"/>
      <c r="AG46" s="528"/>
      <c r="AH46" s="528"/>
      <c r="AI46" s="450" t="str">
        <f ca="1">DBCS(INDIRECT("U12対戦スケジュール!g"&amp;(ROW()/2+8)))</f>
        <v>８／２／２／８</v>
      </c>
      <c r="AJ46" s="528"/>
      <c r="AK46" s="528"/>
      <c r="AL46" s="528"/>
      <c r="AM46" s="528"/>
      <c r="AN46" s="528"/>
      <c r="AO46" s="528"/>
      <c r="AP46" s="528"/>
      <c r="AR46" s="56">
        <v>7</v>
      </c>
      <c r="AS46" s="56">
        <v>1</v>
      </c>
    </row>
    <row r="47" spans="1:45" ht="20.100000000000001" customHeight="1" x14ac:dyDescent="0.4">
      <c r="B47" s="472"/>
      <c r="C47" s="452"/>
      <c r="D47" s="452"/>
      <c r="E47" s="452"/>
      <c r="F47" s="528"/>
      <c r="G47" s="528"/>
      <c r="H47" s="528"/>
      <c r="I47" s="528"/>
      <c r="J47" s="529"/>
      <c r="K47" s="529"/>
      <c r="L47" s="529"/>
      <c r="M47" s="529"/>
      <c r="N47" s="529"/>
      <c r="O47" s="529"/>
      <c r="P47" s="529"/>
      <c r="Q47" s="450"/>
      <c r="R47" s="450"/>
      <c r="S47" s="224">
        <v>1</v>
      </c>
      <c r="T47" s="227" t="s">
        <v>30</v>
      </c>
      <c r="U47" s="224">
        <v>0</v>
      </c>
      <c r="V47" s="450"/>
      <c r="W47" s="450"/>
      <c r="X47" s="530"/>
      <c r="Y47" s="530"/>
      <c r="Z47" s="530"/>
      <c r="AA47" s="530"/>
      <c r="AB47" s="530"/>
      <c r="AC47" s="530"/>
      <c r="AD47" s="530"/>
      <c r="AE47" s="528"/>
      <c r="AF47" s="528"/>
      <c r="AG47" s="528"/>
      <c r="AH47" s="528"/>
      <c r="AI47" s="528"/>
      <c r="AJ47" s="528"/>
      <c r="AK47" s="528"/>
      <c r="AL47" s="528"/>
      <c r="AM47" s="528"/>
      <c r="AN47" s="528"/>
      <c r="AO47" s="528"/>
      <c r="AP47" s="528"/>
    </row>
    <row r="48" spans="1:45" ht="20.100000000000001" customHeight="1" x14ac:dyDescent="0.4">
      <c r="B48" s="472">
        <v>3</v>
      </c>
      <c r="C48" s="452">
        <v>0.4236111111111111</v>
      </c>
      <c r="D48" s="452"/>
      <c r="E48" s="452"/>
      <c r="F48" s="443"/>
      <c r="G48" s="528"/>
      <c r="H48" s="528"/>
      <c r="I48" s="528"/>
      <c r="J48" s="445" t="str">
        <f t="shared" ref="J48" si="20">IFERROR(VLOOKUP(AR48,$C$36:$N$38,3,0),"")&amp;IFERROR(VLOOKUP(AR48,$Q$36:$AB$38,3,0),"")&amp;IFERROR(VLOOKUP(AR48,$AE$36:$AP$38,3,0),"")</f>
        <v>ウエストフットコム</v>
      </c>
      <c r="K48" s="529"/>
      <c r="L48" s="529"/>
      <c r="M48" s="529"/>
      <c r="N48" s="529"/>
      <c r="O48" s="529"/>
      <c r="P48" s="529"/>
      <c r="Q48" s="450">
        <f t="shared" si="16"/>
        <v>3</v>
      </c>
      <c r="R48" s="450"/>
      <c r="S48" s="224">
        <v>3</v>
      </c>
      <c r="T48" s="227" t="s">
        <v>30</v>
      </c>
      <c r="U48" s="224">
        <v>5</v>
      </c>
      <c r="V48" s="450">
        <f t="shared" si="17"/>
        <v>5</v>
      </c>
      <c r="W48" s="450"/>
      <c r="X48" s="447" t="str">
        <f t="shared" ref="X48" si="21">IFERROR(VLOOKUP(AS48,$C$36:$N$38,3,0),"")&amp;IFERROR(VLOOKUP(AS48,$Q$36:$AB$38,3,0),"")&amp;IFERROR(VLOOKUP(AS48,$AE$36:$AP$38,3,0),"")</f>
        <v>FCブロケード・陽東U11</v>
      </c>
      <c r="Y48" s="530"/>
      <c r="Z48" s="530"/>
      <c r="AA48" s="530"/>
      <c r="AB48" s="530"/>
      <c r="AC48" s="530"/>
      <c r="AD48" s="530"/>
      <c r="AE48" s="443"/>
      <c r="AF48" s="528"/>
      <c r="AG48" s="528"/>
      <c r="AH48" s="528"/>
      <c r="AI48" s="450" t="str">
        <f ca="1">DBCS(INDIRECT("U12対戦スケジュール!g"&amp;(ROW()/2+8)))</f>
        <v>４／７／７／４</v>
      </c>
      <c r="AJ48" s="528"/>
      <c r="AK48" s="528"/>
      <c r="AL48" s="528"/>
      <c r="AM48" s="528"/>
      <c r="AN48" s="528"/>
      <c r="AO48" s="528"/>
      <c r="AP48" s="528"/>
      <c r="AR48" s="56">
        <v>5</v>
      </c>
      <c r="AS48" s="56">
        <v>8</v>
      </c>
    </row>
    <row r="49" spans="1:45" ht="20.100000000000001" customHeight="1" x14ac:dyDescent="0.4">
      <c r="B49" s="472"/>
      <c r="C49" s="452"/>
      <c r="D49" s="452"/>
      <c r="E49" s="452"/>
      <c r="F49" s="528"/>
      <c r="G49" s="528"/>
      <c r="H49" s="528"/>
      <c r="I49" s="528"/>
      <c r="J49" s="529"/>
      <c r="K49" s="529"/>
      <c r="L49" s="529"/>
      <c r="M49" s="529"/>
      <c r="N49" s="529"/>
      <c r="O49" s="529"/>
      <c r="P49" s="529"/>
      <c r="Q49" s="450"/>
      <c r="R49" s="450"/>
      <c r="S49" s="224">
        <v>0</v>
      </c>
      <c r="T49" s="227" t="s">
        <v>30</v>
      </c>
      <c r="U49" s="224">
        <v>0</v>
      </c>
      <c r="V49" s="450"/>
      <c r="W49" s="450"/>
      <c r="X49" s="530"/>
      <c r="Y49" s="530"/>
      <c r="Z49" s="530"/>
      <c r="AA49" s="530"/>
      <c r="AB49" s="530"/>
      <c r="AC49" s="530"/>
      <c r="AD49" s="530"/>
      <c r="AE49" s="528"/>
      <c r="AF49" s="528"/>
      <c r="AG49" s="528"/>
      <c r="AH49" s="528"/>
      <c r="AI49" s="528"/>
      <c r="AJ49" s="528"/>
      <c r="AK49" s="528"/>
      <c r="AL49" s="528"/>
      <c r="AM49" s="528"/>
      <c r="AN49" s="528"/>
      <c r="AO49" s="528"/>
      <c r="AP49" s="528"/>
    </row>
    <row r="50" spans="1:45" ht="20.100000000000001" customHeight="1" x14ac:dyDescent="0.4">
      <c r="B50" s="472">
        <v>4</v>
      </c>
      <c r="C50" s="452">
        <v>0.45833333333333331</v>
      </c>
      <c r="D50" s="452">
        <v>0.4375</v>
      </c>
      <c r="E50" s="452"/>
      <c r="F50" s="443"/>
      <c r="G50" s="528"/>
      <c r="H50" s="528"/>
      <c r="I50" s="528"/>
      <c r="J50" s="445" t="str">
        <f t="shared" ref="J50" si="22">IFERROR(VLOOKUP(AR50,$C$36:$N$38,3,0),"")&amp;IFERROR(VLOOKUP(AR50,$Q$36:$AB$38,3,0),"")&amp;IFERROR(VLOOKUP(AR50,$AE$36:$AP$38,3,0),"")</f>
        <v>シャルムグランツＳＣ</v>
      </c>
      <c r="K50" s="529"/>
      <c r="L50" s="529"/>
      <c r="M50" s="529"/>
      <c r="N50" s="529"/>
      <c r="O50" s="529"/>
      <c r="P50" s="529"/>
      <c r="Q50" s="450">
        <f t="shared" ref="Q50:Q54" si="23">IF(OR(S50="",S51=""),"",S50+S51)</f>
        <v>0</v>
      </c>
      <c r="R50" s="450"/>
      <c r="S50" s="224">
        <v>0</v>
      </c>
      <c r="T50" s="227" t="s">
        <v>30</v>
      </c>
      <c r="U50" s="224">
        <v>3</v>
      </c>
      <c r="V50" s="450">
        <f t="shared" ref="V50:V54" si="24">IF(OR(U50="",U51=""),"",U50+U51)</f>
        <v>7</v>
      </c>
      <c r="W50" s="450"/>
      <c r="X50" s="447" t="str">
        <f t="shared" ref="X50" si="25">IFERROR(VLOOKUP(AS50,$C$36:$N$38,3,0),"")&amp;IFERROR(VLOOKUP(AS50,$Q$36:$AB$38,3,0),"")&amp;IFERROR(VLOOKUP(AS50,$AE$36:$AP$38,3,0),"")</f>
        <v>ともぞうＳＣ</v>
      </c>
      <c r="Y50" s="530"/>
      <c r="Z50" s="530"/>
      <c r="AA50" s="530"/>
      <c r="AB50" s="530"/>
      <c r="AC50" s="530"/>
      <c r="AD50" s="530"/>
      <c r="AE50" s="443"/>
      <c r="AF50" s="528"/>
      <c r="AG50" s="528"/>
      <c r="AH50" s="528"/>
      <c r="AI50" s="450" t="str">
        <f ca="1">DBCS(INDIRECT("U12対戦スケジュール!g"&amp;(ROW()/2+8)))</f>
        <v>５／８／８／５</v>
      </c>
      <c r="AJ50" s="528"/>
      <c r="AK50" s="528"/>
      <c r="AL50" s="528"/>
      <c r="AM50" s="528"/>
      <c r="AN50" s="528"/>
      <c r="AO50" s="528"/>
      <c r="AP50" s="528"/>
      <c r="AR50" s="56">
        <v>4</v>
      </c>
      <c r="AS50" s="56">
        <v>7</v>
      </c>
    </row>
    <row r="51" spans="1:45" ht="20.100000000000001" customHeight="1" x14ac:dyDescent="0.4">
      <c r="B51" s="472"/>
      <c r="C51" s="452"/>
      <c r="D51" s="452"/>
      <c r="E51" s="452"/>
      <c r="F51" s="528"/>
      <c r="G51" s="528"/>
      <c r="H51" s="528"/>
      <c r="I51" s="528"/>
      <c r="J51" s="529"/>
      <c r="K51" s="529"/>
      <c r="L51" s="529"/>
      <c r="M51" s="529"/>
      <c r="N51" s="529"/>
      <c r="O51" s="529"/>
      <c r="P51" s="529"/>
      <c r="Q51" s="450"/>
      <c r="R51" s="450"/>
      <c r="S51" s="224">
        <v>0</v>
      </c>
      <c r="T51" s="227" t="s">
        <v>30</v>
      </c>
      <c r="U51" s="224">
        <v>4</v>
      </c>
      <c r="V51" s="450"/>
      <c r="W51" s="450"/>
      <c r="X51" s="530"/>
      <c r="Y51" s="530"/>
      <c r="Z51" s="530"/>
      <c r="AA51" s="530"/>
      <c r="AB51" s="530"/>
      <c r="AC51" s="530"/>
      <c r="AD51" s="530"/>
      <c r="AE51" s="528"/>
      <c r="AF51" s="528"/>
      <c r="AG51" s="528"/>
      <c r="AH51" s="528"/>
      <c r="AI51" s="528"/>
      <c r="AJ51" s="528"/>
      <c r="AK51" s="528"/>
      <c r="AL51" s="528"/>
      <c r="AM51" s="528"/>
      <c r="AN51" s="528"/>
      <c r="AO51" s="528"/>
      <c r="AP51" s="528"/>
    </row>
    <row r="52" spans="1:45" ht="20.100000000000001" customHeight="1" x14ac:dyDescent="0.4">
      <c r="B52" s="472">
        <v>5</v>
      </c>
      <c r="C52" s="452">
        <v>0.49305555555555558</v>
      </c>
      <c r="D52" s="452"/>
      <c r="E52" s="452"/>
      <c r="F52" s="443"/>
      <c r="G52" s="528"/>
      <c r="H52" s="528"/>
      <c r="I52" s="528"/>
      <c r="J52" s="445" t="str">
        <f t="shared" ref="J52" si="26">IFERROR(VLOOKUP(AR52,$C$36:$N$38,3,0),"")&amp;IFERROR(VLOOKUP(AR52,$Q$36:$AB$38,3,0),"")&amp;IFERROR(VLOOKUP(AR52,$AE$36:$AP$38,3,0),"")</f>
        <v>ＦＣグラシアス</v>
      </c>
      <c r="K52" s="529"/>
      <c r="L52" s="529"/>
      <c r="M52" s="529"/>
      <c r="N52" s="529"/>
      <c r="O52" s="529"/>
      <c r="P52" s="529"/>
      <c r="Q52" s="450">
        <f t="shared" si="23"/>
        <v>0</v>
      </c>
      <c r="R52" s="450"/>
      <c r="S52" s="224">
        <v>0</v>
      </c>
      <c r="T52" s="227" t="s">
        <v>30</v>
      </c>
      <c r="U52" s="224">
        <v>1</v>
      </c>
      <c r="V52" s="450">
        <f t="shared" si="24"/>
        <v>3</v>
      </c>
      <c r="W52" s="450"/>
      <c r="X52" s="447" t="str">
        <f t="shared" ref="X52" si="27">IFERROR(VLOOKUP(AS52,$C$36:$N$38,3,0),"")&amp;IFERROR(VLOOKUP(AS52,$Q$36:$AB$38,3,0),"")&amp;IFERROR(VLOOKUP(AS52,$AE$36:$AP$38,3,0),"")</f>
        <v>ウエストフットコム</v>
      </c>
      <c r="Y52" s="530"/>
      <c r="Z52" s="530"/>
      <c r="AA52" s="530"/>
      <c r="AB52" s="530"/>
      <c r="AC52" s="530"/>
      <c r="AD52" s="530"/>
      <c r="AE52" s="443"/>
      <c r="AF52" s="528"/>
      <c r="AG52" s="528"/>
      <c r="AH52" s="528"/>
      <c r="AI52" s="450" t="str">
        <f ca="1">DBCS(INDIRECT("U12対戦スケジュール!g"&amp;(ROW()/2+8)))</f>
        <v>１／４／４／１</v>
      </c>
      <c r="AJ52" s="528"/>
      <c r="AK52" s="528"/>
      <c r="AL52" s="528"/>
      <c r="AM52" s="528"/>
      <c r="AN52" s="528"/>
      <c r="AO52" s="528"/>
      <c r="AP52" s="528"/>
      <c r="AR52" s="56">
        <v>2</v>
      </c>
      <c r="AS52" s="56">
        <v>5</v>
      </c>
    </row>
    <row r="53" spans="1:45" ht="20.100000000000001" customHeight="1" x14ac:dyDescent="0.4">
      <c r="B53" s="472"/>
      <c r="C53" s="452"/>
      <c r="D53" s="452"/>
      <c r="E53" s="452"/>
      <c r="F53" s="528"/>
      <c r="G53" s="528"/>
      <c r="H53" s="528"/>
      <c r="I53" s="528"/>
      <c r="J53" s="529"/>
      <c r="K53" s="529"/>
      <c r="L53" s="529"/>
      <c r="M53" s="529"/>
      <c r="N53" s="529"/>
      <c r="O53" s="529"/>
      <c r="P53" s="529"/>
      <c r="Q53" s="450"/>
      <c r="R53" s="450"/>
      <c r="S53" s="224">
        <v>0</v>
      </c>
      <c r="T53" s="227" t="s">
        <v>30</v>
      </c>
      <c r="U53" s="224">
        <v>2</v>
      </c>
      <c r="V53" s="450"/>
      <c r="W53" s="450"/>
      <c r="X53" s="530"/>
      <c r="Y53" s="530"/>
      <c r="Z53" s="530"/>
      <c r="AA53" s="530"/>
      <c r="AB53" s="530"/>
      <c r="AC53" s="530"/>
      <c r="AD53" s="530"/>
      <c r="AE53" s="528"/>
      <c r="AF53" s="528"/>
      <c r="AG53" s="528"/>
      <c r="AH53" s="528"/>
      <c r="AI53" s="528"/>
      <c r="AJ53" s="528"/>
      <c r="AK53" s="528"/>
      <c r="AL53" s="528"/>
      <c r="AM53" s="528"/>
      <c r="AN53" s="528"/>
      <c r="AO53" s="528"/>
      <c r="AP53" s="528"/>
    </row>
    <row r="54" spans="1:45" ht="20.100000000000001" customHeight="1" x14ac:dyDescent="0.4">
      <c r="B54" s="472">
        <v>6</v>
      </c>
      <c r="C54" s="452">
        <v>0.52777777777777779</v>
      </c>
      <c r="D54" s="452">
        <v>0.4375</v>
      </c>
      <c r="E54" s="452"/>
      <c r="F54" s="443"/>
      <c r="G54" s="528"/>
      <c r="H54" s="528"/>
      <c r="I54" s="528"/>
      <c r="J54" s="445" t="str">
        <f t="shared" ref="J54" si="28">IFERROR(VLOOKUP(AR54,$C$36:$N$38,3,0),"")&amp;IFERROR(VLOOKUP(AR54,$Q$36:$AB$38,3,0),"")&amp;IFERROR(VLOOKUP(AR54,$AE$36:$AP$38,3,0),"")</f>
        <v>ＳＵＧＡＯ ＳＣ</v>
      </c>
      <c r="K54" s="529"/>
      <c r="L54" s="529"/>
      <c r="M54" s="529"/>
      <c r="N54" s="529"/>
      <c r="O54" s="529"/>
      <c r="P54" s="529"/>
      <c r="Q54" s="450">
        <f t="shared" si="23"/>
        <v>3</v>
      </c>
      <c r="R54" s="450"/>
      <c r="S54" s="224">
        <v>1</v>
      </c>
      <c r="T54" s="227" t="s">
        <v>30</v>
      </c>
      <c r="U54" s="224">
        <v>0</v>
      </c>
      <c r="V54" s="450">
        <f t="shared" si="24"/>
        <v>1</v>
      </c>
      <c r="W54" s="450"/>
      <c r="X54" s="447" t="str">
        <f t="shared" ref="X54" si="29">IFERROR(VLOOKUP(AS54,$C$36:$N$38,3,0),"")&amp;IFERROR(VLOOKUP(AS54,$Q$36:$AB$38,3,0),"")&amp;IFERROR(VLOOKUP(AS54,$AE$36:$AP$38,3,0),"")</f>
        <v>シャルムグランツＳＣ</v>
      </c>
      <c r="Y54" s="530"/>
      <c r="Z54" s="530"/>
      <c r="AA54" s="530"/>
      <c r="AB54" s="530"/>
      <c r="AC54" s="530"/>
      <c r="AD54" s="530"/>
      <c r="AE54" s="443"/>
      <c r="AF54" s="528"/>
      <c r="AG54" s="528"/>
      <c r="AH54" s="528"/>
      <c r="AI54" s="450" t="str">
        <f ca="1">DBCS(INDIRECT("U12対戦スケジュール!g"&amp;(ROW()/2+8)))</f>
        <v>２／５／５／２</v>
      </c>
      <c r="AJ54" s="528"/>
      <c r="AK54" s="528"/>
      <c r="AL54" s="528"/>
      <c r="AM54" s="528"/>
      <c r="AN54" s="528"/>
      <c r="AO54" s="528"/>
      <c r="AP54" s="528"/>
      <c r="AR54" s="56">
        <v>1</v>
      </c>
      <c r="AS54" s="56">
        <v>4</v>
      </c>
    </row>
    <row r="55" spans="1:45" ht="20.100000000000001" customHeight="1" x14ac:dyDescent="0.4">
      <c r="B55" s="472"/>
      <c r="C55" s="452"/>
      <c r="D55" s="452"/>
      <c r="E55" s="452"/>
      <c r="F55" s="528"/>
      <c r="G55" s="528"/>
      <c r="H55" s="528"/>
      <c r="I55" s="528"/>
      <c r="J55" s="529"/>
      <c r="K55" s="529"/>
      <c r="L55" s="529"/>
      <c r="M55" s="529"/>
      <c r="N55" s="529"/>
      <c r="O55" s="529"/>
      <c r="P55" s="529"/>
      <c r="Q55" s="450"/>
      <c r="R55" s="450"/>
      <c r="S55" s="224">
        <v>2</v>
      </c>
      <c r="T55" s="227" t="s">
        <v>30</v>
      </c>
      <c r="U55" s="224">
        <v>1</v>
      </c>
      <c r="V55" s="450"/>
      <c r="W55" s="450"/>
      <c r="X55" s="530"/>
      <c r="Y55" s="530"/>
      <c r="Z55" s="530"/>
      <c r="AA55" s="530"/>
      <c r="AB55" s="530"/>
      <c r="AC55" s="530"/>
      <c r="AD55" s="530"/>
      <c r="AE55" s="528"/>
      <c r="AF55" s="528"/>
      <c r="AG55" s="528"/>
      <c r="AH55" s="528"/>
      <c r="AI55" s="528"/>
      <c r="AJ55" s="528"/>
      <c r="AK55" s="528"/>
      <c r="AL55" s="528"/>
      <c r="AM55" s="528"/>
      <c r="AN55" s="528"/>
      <c r="AO55" s="528"/>
      <c r="AP55" s="528"/>
    </row>
    <row r="56" spans="1:45" ht="20.100000000000001" hidden="1" customHeight="1" x14ac:dyDescent="0.4">
      <c r="B56" s="472">
        <v>7</v>
      </c>
      <c r="C56" s="452">
        <v>0.5625</v>
      </c>
      <c r="D56" s="452">
        <v>0.4375</v>
      </c>
      <c r="E56" s="452"/>
      <c r="F56" s="443"/>
      <c r="G56" s="528"/>
      <c r="H56" s="528"/>
      <c r="I56" s="528"/>
      <c r="J56" s="445" t="str">
        <f t="shared" ref="J56" si="30">IFERROR(VLOOKUP(AR56,$C$36:$N$40,3,0),"")&amp;IFERROR(VLOOKUP(AR56,$Q$36:$AB$40,3,0),"")</f>
        <v/>
      </c>
      <c r="K56" s="529"/>
      <c r="L56" s="529"/>
      <c r="M56" s="529"/>
      <c r="N56" s="529"/>
      <c r="O56" s="529"/>
      <c r="P56" s="529"/>
      <c r="Q56" s="450" t="str">
        <f>IF(OR(S56="",S57=""),"",S56+S57)</f>
        <v/>
      </c>
      <c r="R56" s="450"/>
      <c r="S56" s="224"/>
      <c r="T56" s="227" t="s">
        <v>30</v>
      </c>
      <c r="U56" s="224"/>
      <c r="V56" s="450" t="str">
        <f>IF(OR(U56="",U57=""),"",U56+U57)</f>
        <v/>
      </c>
      <c r="W56" s="450"/>
      <c r="X56" s="447" t="str">
        <f t="shared" ref="X56" si="31">IFERROR(VLOOKUP(AS56,$C$36:$N$40,3,0),"")&amp;IFERROR(VLOOKUP(AS56,$Q$36:$AB$40,3,0),"")</f>
        <v/>
      </c>
      <c r="Y56" s="530"/>
      <c r="Z56" s="530"/>
      <c r="AA56" s="530"/>
      <c r="AB56" s="530"/>
      <c r="AC56" s="530"/>
      <c r="AD56" s="530"/>
      <c r="AE56" s="443"/>
      <c r="AF56" s="528"/>
      <c r="AG56" s="528"/>
      <c r="AH56" s="528"/>
      <c r="AI56" s="450" t="str">
        <f ca="1">DBCS(INDIRECT("U12対戦スケジュール!g"&amp;(ROW()/2+8)))</f>
        <v/>
      </c>
      <c r="AJ56" s="528"/>
      <c r="AK56" s="528"/>
      <c r="AL56" s="528"/>
      <c r="AM56" s="528"/>
      <c r="AN56" s="528"/>
      <c r="AO56" s="528"/>
      <c r="AP56" s="528"/>
    </row>
    <row r="57" spans="1:45" ht="20.100000000000001" hidden="1" customHeight="1" x14ac:dyDescent="0.4">
      <c r="B57" s="472"/>
      <c r="C57" s="452"/>
      <c r="D57" s="452"/>
      <c r="E57" s="452"/>
      <c r="F57" s="528"/>
      <c r="G57" s="528"/>
      <c r="H57" s="528"/>
      <c r="I57" s="528"/>
      <c r="J57" s="529"/>
      <c r="K57" s="529"/>
      <c r="L57" s="529"/>
      <c r="M57" s="529"/>
      <c r="N57" s="529"/>
      <c r="O57" s="529"/>
      <c r="P57" s="529"/>
      <c r="Q57" s="450"/>
      <c r="R57" s="450"/>
      <c r="S57" s="224"/>
      <c r="T57" s="227" t="s">
        <v>30</v>
      </c>
      <c r="U57" s="224"/>
      <c r="V57" s="450"/>
      <c r="W57" s="450"/>
      <c r="X57" s="530"/>
      <c r="Y57" s="530"/>
      <c r="Z57" s="530"/>
      <c r="AA57" s="530"/>
      <c r="AB57" s="530"/>
      <c r="AC57" s="530"/>
      <c r="AD57" s="530"/>
      <c r="AE57" s="528"/>
      <c r="AF57" s="528"/>
      <c r="AG57" s="528"/>
      <c r="AH57" s="528"/>
      <c r="AI57" s="528"/>
      <c r="AJ57" s="528"/>
      <c r="AK57" s="528"/>
      <c r="AL57" s="528"/>
      <c r="AM57" s="528"/>
      <c r="AN57" s="528"/>
      <c r="AO57" s="528"/>
      <c r="AP57" s="528"/>
    </row>
    <row r="58" spans="1:45" s="55" customFormat="1" ht="15.75" customHeight="1" x14ac:dyDescent="0.4">
      <c r="A58" s="58"/>
      <c r="B58" s="59"/>
      <c r="C58" s="60"/>
      <c r="D58" s="60"/>
      <c r="E58" s="60"/>
      <c r="F58" s="59"/>
      <c r="G58" s="59"/>
      <c r="H58" s="59"/>
      <c r="I58" s="59"/>
      <c r="J58" s="59"/>
      <c r="K58" s="61"/>
      <c r="L58" s="61"/>
      <c r="M58" s="62"/>
      <c r="N58" s="63"/>
      <c r="O58" s="62"/>
      <c r="P58" s="61"/>
      <c r="Q58" s="61"/>
      <c r="R58" s="59"/>
      <c r="S58" s="59"/>
      <c r="T58" s="59"/>
      <c r="U58" s="59"/>
      <c r="V58" s="59"/>
      <c r="W58" s="66"/>
      <c r="X58" s="66"/>
      <c r="Y58" s="66"/>
      <c r="Z58" s="66"/>
      <c r="AA58" s="66"/>
      <c r="AB58" s="66"/>
      <c r="AC58" s="58"/>
    </row>
    <row r="59" spans="1:45" ht="20.25" customHeight="1" x14ac:dyDescent="0.4">
      <c r="D59" s="477" t="s">
        <v>31</v>
      </c>
      <c r="E59" s="477"/>
      <c r="F59" s="477"/>
      <c r="G59" s="477"/>
      <c r="H59" s="477"/>
      <c r="I59" s="477"/>
      <c r="J59" s="477" t="s">
        <v>27</v>
      </c>
      <c r="K59" s="477"/>
      <c r="L59" s="477"/>
      <c r="M59" s="477"/>
      <c r="N59" s="477"/>
      <c r="O59" s="477"/>
      <c r="P59" s="477"/>
      <c r="Q59" s="477"/>
      <c r="R59" s="478" t="s">
        <v>32</v>
      </c>
      <c r="S59" s="478"/>
      <c r="T59" s="478"/>
      <c r="U59" s="478"/>
      <c r="V59" s="478"/>
      <c r="W59" s="478"/>
      <c r="X59" s="478"/>
      <c r="Y59" s="478"/>
      <c r="Z59" s="478"/>
      <c r="AA59" s="479" t="s">
        <v>33</v>
      </c>
      <c r="AB59" s="479"/>
      <c r="AC59" s="479"/>
      <c r="AD59" s="479" t="s">
        <v>34</v>
      </c>
      <c r="AE59" s="479"/>
      <c r="AF59" s="479"/>
      <c r="AG59" s="479"/>
      <c r="AH59" s="479"/>
      <c r="AI59" s="479"/>
      <c r="AJ59" s="479"/>
      <c r="AK59" s="479"/>
      <c r="AL59" s="479"/>
      <c r="AM59" s="479"/>
    </row>
    <row r="60" spans="1:45" ht="30" customHeight="1" x14ac:dyDescent="0.4">
      <c r="D60" s="477" t="s">
        <v>35</v>
      </c>
      <c r="E60" s="477"/>
      <c r="F60" s="477"/>
      <c r="G60" s="477"/>
      <c r="H60" s="477"/>
      <c r="I60" s="477"/>
      <c r="J60" s="477"/>
      <c r="K60" s="477"/>
      <c r="L60" s="477"/>
      <c r="M60" s="477"/>
      <c r="N60" s="477"/>
      <c r="O60" s="477"/>
      <c r="P60" s="477"/>
      <c r="Q60" s="477"/>
      <c r="R60" s="478"/>
      <c r="S60" s="478"/>
      <c r="T60" s="478"/>
      <c r="U60" s="478"/>
      <c r="V60" s="478"/>
      <c r="W60" s="478"/>
      <c r="X60" s="478"/>
      <c r="Y60" s="478"/>
      <c r="Z60" s="478"/>
      <c r="AA60" s="481"/>
      <c r="AB60" s="481"/>
      <c r="AC60" s="481"/>
      <c r="AD60" s="480"/>
      <c r="AE60" s="480"/>
      <c r="AF60" s="480"/>
      <c r="AG60" s="480"/>
      <c r="AH60" s="480"/>
      <c r="AI60" s="480"/>
      <c r="AJ60" s="480"/>
      <c r="AK60" s="480"/>
      <c r="AL60" s="480"/>
      <c r="AM60" s="480"/>
    </row>
    <row r="61" spans="1:45" ht="30" customHeight="1" x14ac:dyDescent="0.4">
      <c r="D61" s="477" t="s">
        <v>35</v>
      </c>
      <c r="E61" s="477"/>
      <c r="F61" s="477"/>
      <c r="G61" s="477"/>
      <c r="H61" s="477"/>
      <c r="I61" s="477"/>
      <c r="J61" s="477"/>
      <c r="K61" s="477"/>
      <c r="L61" s="477"/>
      <c r="M61" s="477"/>
      <c r="N61" s="477"/>
      <c r="O61" s="477"/>
      <c r="P61" s="477"/>
      <c r="Q61" s="477"/>
      <c r="R61" s="478"/>
      <c r="S61" s="478"/>
      <c r="T61" s="478"/>
      <c r="U61" s="478"/>
      <c r="V61" s="478"/>
      <c r="W61" s="478"/>
      <c r="X61" s="478"/>
      <c r="Y61" s="478"/>
      <c r="Z61" s="478"/>
      <c r="AA61" s="479"/>
      <c r="AB61" s="479"/>
      <c r="AC61" s="479"/>
      <c r="AD61" s="480"/>
      <c r="AE61" s="480"/>
      <c r="AF61" s="480"/>
      <c r="AG61" s="480"/>
      <c r="AH61" s="480"/>
      <c r="AI61" s="480"/>
      <c r="AJ61" s="480"/>
      <c r="AK61" s="480"/>
      <c r="AL61" s="480"/>
      <c r="AM61" s="480"/>
    </row>
    <row r="62" spans="1:45" ht="30" customHeight="1" x14ac:dyDescent="0.4">
      <c r="D62" s="477" t="s">
        <v>35</v>
      </c>
      <c r="E62" s="477"/>
      <c r="F62" s="477"/>
      <c r="G62" s="477"/>
      <c r="H62" s="477"/>
      <c r="I62" s="477"/>
      <c r="J62" s="477"/>
      <c r="K62" s="477"/>
      <c r="L62" s="477"/>
      <c r="M62" s="477"/>
      <c r="N62" s="477"/>
      <c r="O62" s="477"/>
      <c r="P62" s="477"/>
      <c r="Q62" s="477"/>
      <c r="R62" s="478"/>
      <c r="S62" s="478"/>
      <c r="T62" s="478"/>
      <c r="U62" s="478"/>
      <c r="V62" s="478"/>
      <c r="W62" s="478"/>
      <c r="X62" s="478"/>
      <c r="Y62" s="478"/>
      <c r="Z62" s="478"/>
      <c r="AA62" s="479"/>
      <c r="AB62" s="479"/>
      <c r="AC62" s="479"/>
      <c r="AD62" s="480"/>
      <c r="AE62" s="480"/>
      <c r="AF62" s="480"/>
      <c r="AG62" s="480"/>
      <c r="AH62" s="480"/>
      <c r="AI62" s="480"/>
      <c r="AJ62" s="480"/>
      <c r="AK62" s="480"/>
      <c r="AL62" s="480"/>
      <c r="AM62" s="480"/>
    </row>
    <row r="63" spans="1:45" ht="14.25" customHeight="1" x14ac:dyDescent="0.4">
      <c r="A63" s="451" t="s">
        <v>558</v>
      </c>
      <c r="B63" s="451"/>
      <c r="C63" s="451"/>
      <c r="D63" s="451"/>
      <c r="E63" s="451"/>
      <c r="F63" s="451"/>
      <c r="G63" s="451"/>
      <c r="H63" s="451"/>
      <c r="I63" s="451"/>
      <c r="J63" s="451"/>
      <c r="K63" s="451"/>
      <c r="L63" s="451"/>
      <c r="M63" s="451"/>
      <c r="N63" s="451"/>
      <c r="O63" s="451"/>
      <c r="P63" s="451"/>
      <c r="Q63" s="451"/>
      <c r="R63" s="451"/>
      <c r="S63" s="451"/>
      <c r="T63" s="451"/>
      <c r="U63" s="451"/>
      <c r="V63" s="451"/>
      <c r="W63" s="451"/>
      <c r="X63" s="451"/>
      <c r="Y63" s="451"/>
      <c r="Z63" s="451"/>
      <c r="AA63" s="451"/>
      <c r="AB63" s="451"/>
      <c r="AC63" s="451"/>
      <c r="AD63" s="451"/>
      <c r="AE63" s="451"/>
      <c r="AF63" s="451"/>
      <c r="AG63" s="451"/>
      <c r="AH63" s="451"/>
      <c r="AI63" s="451"/>
      <c r="AJ63" s="451"/>
      <c r="AK63" s="451"/>
      <c r="AL63" s="451"/>
      <c r="AM63" s="451"/>
      <c r="AN63" s="451"/>
      <c r="AO63" s="451"/>
      <c r="AP63" s="451"/>
      <c r="AQ63" s="451"/>
    </row>
    <row r="64" spans="1:45" ht="14.25" customHeight="1" x14ac:dyDescent="0.4">
      <c r="A64" s="451"/>
      <c r="B64" s="451"/>
      <c r="C64" s="451"/>
      <c r="D64" s="451"/>
      <c r="E64" s="451"/>
      <c r="F64" s="451"/>
      <c r="G64" s="451"/>
      <c r="H64" s="451"/>
      <c r="I64" s="451"/>
      <c r="J64" s="451"/>
      <c r="K64" s="451"/>
      <c r="L64" s="451"/>
      <c r="M64" s="451"/>
      <c r="N64" s="451"/>
      <c r="O64" s="451"/>
      <c r="P64" s="451"/>
      <c r="Q64" s="451"/>
      <c r="R64" s="451"/>
      <c r="S64" s="451"/>
      <c r="T64" s="451"/>
      <c r="U64" s="451"/>
      <c r="V64" s="451"/>
      <c r="W64" s="451"/>
      <c r="X64" s="451"/>
      <c r="Y64" s="451"/>
      <c r="Z64" s="451"/>
      <c r="AA64" s="451"/>
      <c r="AB64" s="451"/>
      <c r="AC64" s="451"/>
      <c r="AD64" s="451"/>
      <c r="AE64" s="451"/>
      <c r="AF64" s="451"/>
      <c r="AG64" s="451"/>
      <c r="AH64" s="451"/>
      <c r="AI64" s="451"/>
      <c r="AJ64" s="451"/>
      <c r="AK64" s="451"/>
      <c r="AL64" s="451"/>
      <c r="AM64" s="451"/>
      <c r="AN64" s="451"/>
      <c r="AO64" s="451"/>
      <c r="AP64" s="451"/>
      <c r="AQ64" s="451"/>
    </row>
    <row r="65" spans="2:45" ht="27.75" customHeight="1" x14ac:dyDescent="0.4">
      <c r="C65" s="460" t="s">
        <v>8</v>
      </c>
      <c r="D65" s="460"/>
      <c r="E65" s="460"/>
      <c r="F65" s="460"/>
      <c r="G65" s="461" t="str">
        <f>U12対戦スケジュール!F53</f>
        <v>石井緑地 No.３</v>
      </c>
      <c r="H65" s="462"/>
      <c r="I65" s="462"/>
      <c r="J65" s="462"/>
      <c r="K65" s="462"/>
      <c r="L65" s="462"/>
      <c r="M65" s="462"/>
      <c r="N65" s="462"/>
      <c r="O65" s="462"/>
      <c r="P65" s="460" t="s">
        <v>0</v>
      </c>
      <c r="Q65" s="460"/>
      <c r="R65" s="460"/>
      <c r="S65" s="460"/>
      <c r="T65" s="482" t="str">
        <f>U12対戦スケジュール!F54</f>
        <v>上三川ＳＣ</v>
      </c>
      <c r="U65" s="483"/>
      <c r="V65" s="483"/>
      <c r="W65" s="483"/>
      <c r="X65" s="483"/>
      <c r="Y65" s="483"/>
      <c r="Z65" s="483"/>
      <c r="AA65" s="483"/>
      <c r="AB65" s="483"/>
      <c r="AC65" s="460" t="s">
        <v>9</v>
      </c>
      <c r="AD65" s="460"/>
      <c r="AE65" s="460"/>
      <c r="AF65" s="460"/>
      <c r="AG65" s="484">
        <f>U12組合せ!$B36</f>
        <v>43750</v>
      </c>
      <c r="AH65" s="485"/>
      <c r="AI65" s="485"/>
      <c r="AJ65" s="485"/>
      <c r="AK65" s="485"/>
      <c r="AL65" s="485"/>
      <c r="AM65" s="486" t="str">
        <f>"（"&amp;TEXT(AG65,"aaa")&amp;"）"</f>
        <v>（土）</v>
      </c>
      <c r="AN65" s="486"/>
      <c r="AO65" s="487"/>
    </row>
    <row r="66" spans="2:45" ht="15" customHeight="1" x14ac:dyDescent="0.4"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64"/>
      <c r="X66" s="64"/>
      <c r="Y66" s="64"/>
      <c r="Z66" s="64"/>
      <c r="AA66" s="64"/>
      <c r="AB66" s="64"/>
      <c r="AC66" s="64"/>
    </row>
    <row r="67" spans="2:45" ht="18" customHeight="1" x14ac:dyDescent="0.4">
      <c r="C67" s="475">
        <v>1</v>
      </c>
      <c r="D67" s="475"/>
      <c r="E67" s="513" t="str">
        <f>U12組合せ!$F$14</f>
        <v>ＳＵＧＡＯ ＳＣ</v>
      </c>
      <c r="F67" s="513"/>
      <c r="G67" s="513"/>
      <c r="H67" s="513"/>
      <c r="I67" s="513"/>
      <c r="J67" s="513"/>
      <c r="K67" s="513"/>
      <c r="L67" s="513"/>
      <c r="M67" s="513"/>
      <c r="N67" s="513"/>
      <c r="O67" s="58"/>
      <c r="P67" s="58"/>
      <c r="Q67" s="475">
        <v>2</v>
      </c>
      <c r="R67" s="475"/>
      <c r="S67" s="511" t="str">
        <f>U12組合せ!$F$15</f>
        <v>ＦＣグラシアス</v>
      </c>
      <c r="T67" s="513"/>
      <c r="U67" s="513"/>
      <c r="V67" s="513"/>
      <c r="W67" s="513"/>
      <c r="X67" s="513"/>
      <c r="Y67" s="513"/>
      <c r="Z67" s="513"/>
      <c r="AA67" s="513"/>
      <c r="AB67" s="513"/>
      <c r="AC67" s="68"/>
      <c r="AD67" s="55"/>
      <c r="AE67" s="475">
        <v>3</v>
      </c>
      <c r="AF67" s="475"/>
      <c r="AG67" s="511" t="str">
        <f>U12組合せ!$F$16</f>
        <v>昭和・戸祭ＳＣ-O</v>
      </c>
      <c r="AH67" s="513"/>
      <c r="AI67" s="513"/>
      <c r="AJ67" s="513"/>
      <c r="AK67" s="513"/>
      <c r="AL67" s="513"/>
      <c r="AM67" s="513"/>
      <c r="AN67" s="513"/>
      <c r="AO67" s="513"/>
      <c r="AP67" s="513"/>
    </row>
    <row r="68" spans="2:45" ht="18" customHeight="1" x14ac:dyDescent="0.4">
      <c r="B68" s="57"/>
      <c r="C68" s="475">
        <v>4</v>
      </c>
      <c r="D68" s="475"/>
      <c r="E68" s="511" t="str">
        <f>U12組合せ!$F$17</f>
        <v>シャルムグランツＳＣ</v>
      </c>
      <c r="F68" s="513"/>
      <c r="G68" s="513"/>
      <c r="H68" s="513"/>
      <c r="I68" s="513"/>
      <c r="J68" s="513"/>
      <c r="K68" s="513"/>
      <c r="L68" s="513"/>
      <c r="M68" s="513"/>
      <c r="N68" s="513"/>
      <c r="O68" s="58"/>
      <c r="P68" s="58"/>
      <c r="Q68" s="475">
        <v>5</v>
      </c>
      <c r="R68" s="475"/>
      <c r="S68" s="511" t="str">
        <f>U12組合せ!$F$18</f>
        <v>ウエストフットコム</v>
      </c>
      <c r="T68" s="513"/>
      <c r="U68" s="513"/>
      <c r="V68" s="513"/>
      <c r="W68" s="513"/>
      <c r="X68" s="513"/>
      <c r="Y68" s="513"/>
      <c r="Z68" s="513"/>
      <c r="AA68" s="513"/>
      <c r="AB68" s="513"/>
      <c r="AC68" s="68"/>
      <c r="AD68" s="55"/>
      <c r="AE68" s="475">
        <v>6</v>
      </c>
      <c r="AF68" s="475"/>
      <c r="AG68" s="511" t="str">
        <f>U12組合せ!$F$19</f>
        <v>雀宮ＦＣセカンド</v>
      </c>
      <c r="AH68" s="513"/>
      <c r="AI68" s="513"/>
      <c r="AJ68" s="513"/>
      <c r="AK68" s="513"/>
      <c r="AL68" s="513"/>
      <c r="AM68" s="513"/>
      <c r="AN68" s="513"/>
      <c r="AO68" s="513"/>
      <c r="AP68" s="513"/>
      <c r="AQ68" s="57"/>
    </row>
    <row r="69" spans="2:45" ht="18" customHeight="1" x14ac:dyDescent="0.4">
      <c r="C69" s="475">
        <v>7</v>
      </c>
      <c r="D69" s="475"/>
      <c r="E69" s="511" t="str">
        <f>U12組合せ!$F$20</f>
        <v>ともぞうＳＣ</v>
      </c>
      <c r="F69" s="513"/>
      <c r="G69" s="513"/>
      <c r="H69" s="513"/>
      <c r="I69" s="513"/>
      <c r="J69" s="513"/>
      <c r="K69" s="513"/>
      <c r="L69" s="513"/>
      <c r="M69" s="513"/>
      <c r="N69" s="513"/>
      <c r="O69" s="58"/>
      <c r="P69" s="58"/>
      <c r="Q69" s="475">
        <v>8</v>
      </c>
      <c r="R69" s="475"/>
      <c r="S69" s="511" t="str">
        <f>U12組合せ!$F$21</f>
        <v>FCブロケード・陽東U11</v>
      </c>
      <c r="T69" s="513"/>
      <c r="U69" s="513"/>
      <c r="V69" s="513"/>
      <c r="W69" s="513"/>
      <c r="X69" s="513"/>
      <c r="Y69" s="513"/>
      <c r="Z69" s="513"/>
      <c r="AA69" s="513"/>
      <c r="AB69" s="513"/>
      <c r="AC69" s="68"/>
      <c r="AD69" s="55"/>
      <c r="AE69" s="475">
        <v>9</v>
      </c>
      <c r="AF69" s="475"/>
      <c r="AG69" s="511" t="str">
        <f>U12組合せ!$F$22</f>
        <v>上三川ＳＣ</v>
      </c>
      <c r="AH69" s="513"/>
      <c r="AI69" s="513"/>
      <c r="AJ69" s="513"/>
      <c r="AK69" s="513"/>
      <c r="AL69" s="513"/>
      <c r="AM69" s="513"/>
      <c r="AN69" s="513"/>
      <c r="AO69" s="513"/>
      <c r="AP69" s="513"/>
    </row>
    <row r="70" spans="2:45" ht="18" customHeight="1" x14ac:dyDescent="0.4">
      <c r="C70" s="475"/>
      <c r="D70" s="475"/>
      <c r="E70" s="511"/>
      <c r="F70" s="513"/>
      <c r="G70" s="513"/>
      <c r="H70" s="513"/>
      <c r="I70" s="513"/>
      <c r="J70" s="513"/>
      <c r="K70" s="513"/>
      <c r="L70" s="513"/>
      <c r="M70" s="513"/>
      <c r="N70" s="513"/>
      <c r="O70" s="58"/>
      <c r="P70" s="58"/>
      <c r="Q70" s="475"/>
      <c r="R70" s="475"/>
      <c r="S70" s="511"/>
      <c r="T70" s="476"/>
      <c r="U70" s="476"/>
      <c r="V70" s="476"/>
      <c r="W70" s="476"/>
      <c r="X70" s="476"/>
      <c r="Y70" s="476"/>
      <c r="Z70" s="476"/>
      <c r="AA70" s="476"/>
      <c r="AB70" s="476"/>
      <c r="AC70" s="68"/>
      <c r="AD70" s="58"/>
      <c r="AE70" s="475"/>
      <c r="AF70" s="475"/>
      <c r="AG70" s="476"/>
      <c r="AH70" s="476"/>
      <c r="AI70" s="476"/>
      <c r="AJ70" s="476"/>
      <c r="AK70" s="476"/>
      <c r="AL70" s="476"/>
      <c r="AM70" s="476"/>
      <c r="AN70" s="476"/>
      <c r="AO70" s="476"/>
      <c r="AP70" s="476"/>
    </row>
    <row r="71" spans="2:45" ht="18" customHeight="1" x14ac:dyDescent="0.4">
      <c r="C71" s="475"/>
      <c r="D71" s="475"/>
      <c r="E71" s="511"/>
      <c r="F71" s="513"/>
      <c r="G71" s="513"/>
      <c r="H71" s="513"/>
      <c r="I71" s="513"/>
      <c r="J71" s="513"/>
      <c r="K71" s="513"/>
      <c r="L71" s="513"/>
      <c r="M71" s="513"/>
      <c r="N71" s="513"/>
      <c r="O71" s="58"/>
      <c r="P71" s="58"/>
      <c r="Q71" s="475"/>
      <c r="R71" s="475"/>
      <c r="S71" s="511"/>
      <c r="T71" s="476"/>
      <c r="U71" s="476"/>
      <c r="V71" s="476"/>
      <c r="W71" s="476"/>
      <c r="X71" s="476"/>
      <c r="Y71" s="476"/>
      <c r="Z71" s="476"/>
      <c r="AA71" s="476"/>
      <c r="AB71" s="476"/>
      <c r="AC71" s="68"/>
      <c r="AD71" s="55"/>
      <c r="AE71" s="475"/>
      <c r="AF71" s="475"/>
      <c r="AG71" s="453"/>
      <c r="AH71" s="454"/>
      <c r="AI71" s="454"/>
      <c r="AJ71" s="454"/>
      <c r="AK71" s="454"/>
      <c r="AL71" s="454"/>
      <c r="AM71" s="454"/>
      <c r="AN71" s="454"/>
      <c r="AO71" s="454"/>
      <c r="AP71" s="455"/>
    </row>
    <row r="72" spans="2:45" ht="15" customHeight="1" x14ac:dyDescent="0.4">
      <c r="C72" s="103"/>
      <c r="D72" s="104"/>
      <c r="E72" s="104"/>
      <c r="F72" s="104"/>
      <c r="G72" s="104"/>
      <c r="H72" s="104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104"/>
      <c r="U72" s="57"/>
      <c r="V72" s="104"/>
      <c r="W72" s="57"/>
      <c r="X72" s="104"/>
      <c r="Y72" s="57"/>
      <c r="Z72" s="104"/>
      <c r="AA72" s="57"/>
      <c r="AB72" s="104"/>
      <c r="AC72" s="104"/>
    </row>
    <row r="73" spans="2:45" ht="21" customHeight="1" x14ac:dyDescent="0.4">
      <c r="B73" s="56" t="s">
        <v>569</v>
      </c>
    </row>
    <row r="74" spans="2:45" ht="20.25" customHeight="1" x14ac:dyDescent="0.4">
      <c r="B74" s="219"/>
      <c r="C74" s="456" t="s">
        <v>25</v>
      </c>
      <c r="D74" s="456"/>
      <c r="E74" s="456"/>
      <c r="F74" s="458" t="s">
        <v>26</v>
      </c>
      <c r="G74" s="459"/>
      <c r="H74" s="459"/>
      <c r="I74" s="459"/>
      <c r="J74" s="456" t="s">
        <v>27</v>
      </c>
      <c r="K74" s="457"/>
      <c r="L74" s="457"/>
      <c r="M74" s="457"/>
      <c r="N74" s="457"/>
      <c r="O74" s="457"/>
      <c r="P74" s="457"/>
      <c r="Q74" s="456" t="s">
        <v>540</v>
      </c>
      <c r="R74" s="456"/>
      <c r="S74" s="456"/>
      <c r="T74" s="456"/>
      <c r="U74" s="456"/>
      <c r="V74" s="456"/>
      <c r="W74" s="456"/>
      <c r="X74" s="456" t="s">
        <v>27</v>
      </c>
      <c r="Y74" s="457"/>
      <c r="Z74" s="457"/>
      <c r="AA74" s="457"/>
      <c r="AB74" s="457"/>
      <c r="AC74" s="457"/>
      <c r="AD74" s="457"/>
      <c r="AE74" s="458" t="s">
        <v>26</v>
      </c>
      <c r="AF74" s="459"/>
      <c r="AG74" s="459"/>
      <c r="AH74" s="459"/>
      <c r="AI74" s="456" t="s">
        <v>29</v>
      </c>
      <c r="AJ74" s="456"/>
      <c r="AK74" s="457"/>
      <c r="AL74" s="457"/>
      <c r="AM74" s="457"/>
      <c r="AN74" s="457"/>
      <c r="AO74" s="457"/>
      <c r="AP74" s="457"/>
    </row>
    <row r="75" spans="2:45" ht="20.100000000000001" customHeight="1" x14ac:dyDescent="0.4">
      <c r="B75" s="472">
        <v>1</v>
      </c>
      <c r="C75" s="449">
        <v>0.375</v>
      </c>
      <c r="D75" s="449"/>
      <c r="E75" s="449"/>
      <c r="F75" s="443"/>
      <c r="G75" s="444"/>
      <c r="H75" s="444"/>
      <c r="I75" s="444"/>
      <c r="J75" s="445" t="str">
        <f>IFERROR(VLOOKUP(AR75,$C$67:$N$69,3,0),"")&amp;IFERROR(VLOOKUP(AR75,$Q$67:$AB$69,3,0),"")&amp;IFERROR(VLOOKUP(AR75,$AE$67:$AP$69,3,0),"")</f>
        <v>雀宮ＦＣセカンド</v>
      </c>
      <c r="K75" s="529"/>
      <c r="L75" s="529"/>
      <c r="M75" s="529"/>
      <c r="N75" s="529"/>
      <c r="O75" s="529"/>
      <c r="P75" s="529"/>
      <c r="Q75" s="450" t="str">
        <f t="shared" ref="Q75:Q79" si="32">IF(OR(S75="",S76=""),"",S75+S76)</f>
        <v/>
      </c>
      <c r="R75" s="450"/>
      <c r="S75" s="224"/>
      <c r="T75" s="227" t="s">
        <v>30</v>
      </c>
      <c r="U75" s="224"/>
      <c r="V75" s="450" t="str">
        <f t="shared" ref="V75:V79" si="33">IF(OR(U75="",U76=""),"",U75+U76)</f>
        <v/>
      </c>
      <c r="W75" s="450"/>
      <c r="X75" s="447" t="str">
        <f>IFERROR(VLOOKUP(AS75,$C$67:$N$69,3,0),"")&amp;IFERROR(VLOOKUP(AS75,$Q$67:$AB$69,3,0),"")&amp;IFERROR(VLOOKUP(AS75,$AE$67:$AP$69,3,0),"")</f>
        <v>ともぞうＳＣ</v>
      </c>
      <c r="Y75" s="530"/>
      <c r="Z75" s="530"/>
      <c r="AA75" s="530"/>
      <c r="AB75" s="530"/>
      <c r="AC75" s="530"/>
      <c r="AD75" s="530"/>
      <c r="AE75" s="443"/>
      <c r="AF75" s="444"/>
      <c r="AG75" s="444"/>
      <c r="AH75" s="444"/>
      <c r="AI75" s="450" t="str">
        <f ca="1">DBCS(INDIRECT("U12対戦スケジュール!g"&amp;(ROW()-1)/2+18))</f>
        <v>５／９／９／５</v>
      </c>
      <c r="AJ75" s="444"/>
      <c r="AK75" s="444"/>
      <c r="AL75" s="444"/>
      <c r="AM75" s="444"/>
      <c r="AN75" s="444"/>
      <c r="AO75" s="444"/>
      <c r="AP75" s="444"/>
      <c r="AR75" s="56">
        <v>6</v>
      </c>
      <c r="AS75" s="56">
        <v>7</v>
      </c>
    </row>
    <row r="76" spans="2:45" ht="20.100000000000001" customHeight="1" x14ac:dyDescent="0.4">
      <c r="B76" s="472"/>
      <c r="C76" s="449"/>
      <c r="D76" s="449"/>
      <c r="E76" s="449"/>
      <c r="F76" s="444"/>
      <c r="G76" s="444"/>
      <c r="H76" s="444"/>
      <c r="I76" s="444"/>
      <c r="J76" s="529"/>
      <c r="K76" s="529"/>
      <c r="L76" s="529"/>
      <c r="M76" s="529"/>
      <c r="N76" s="529"/>
      <c r="O76" s="529"/>
      <c r="P76" s="529"/>
      <c r="Q76" s="450"/>
      <c r="R76" s="450"/>
      <c r="S76" s="224"/>
      <c r="T76" s="227" t="s">
        <v>30</v>
      </c>
      <c r="U76" s="224"/>
      <c r="V76" s="450"/>
      <c r="W76" s="450"/>
      <c r="X76" s="530"/>
      <c r="Y76" s="530"/>
      <c r="Z76" s="530"/>
      <c r="AA76" s="530"/>
      <c r="AB76" s="530"/>
      <c r="AC76" s="530"/>
      <c r="AD76" s="530"/>
      <c r="AE76" s="444"/>
      <c r="AF76" s="444"/>
      <c r="AG76" s="444"/>
      <c r="AH76" s="444"/>
      <c r="AI76" s="444"/>
      <c r="AJ76" s="444"/>
      <c r="AK76" s="444"/>
      <c r="AL76" s="444"/>
      <c r="AM76" s="444"/>
      <c r="AN76" s="444"/>
      <c r="AO76" s="444"/>
      <c r="AP76" s="444"/>
    </row>
    <row r="77" spans="2:45" ht="20.100000000000001" customHeight="1" x14ac:dyDescent="0.4">
      <c r="B77" s="472">
        <v>2</v>
      </c>
      <c r="C77" s="449">
        <v>0.40277777777777773</v>
      </c>
      <c r="D77" s="449">
        <v>0.4375</v>
      </c>
      <c r="E77" s="449"/>
      <c r="F77" s="443"/>
      <c r="G77" s="444"/>
      <c r="H77" s="444"/>
      <c r="I77" s="444"/>
      <c r="J77" s="445" t="str">
        <f t="shared" ref="J77" si="34">IFERROR(VLOOKUP(AR77,$C$67:$N$69,3,0),"")&amp;IFERROR(VLOOKUP(AR77,$Q$67:$AB$69,3,0),"")&amp;IFERROR(VLOOKUP(AR77,$AE$67:$AP$69,3,0),"")</f>
        <v>ウエストフットコム</v>
      </c>
      <c r="K77" s="529"/>
      <c r="L77" s="529"/>
      <c r="M77" s="529"/>
      <c r="N77" s="529"/>
      <c r="O77" s="529"/>
      <c r="P77" s="529"/>
      <c r="Q77" s="450" t="str">
        <f t="shared" si="32"/>
        <v/>
      </c>
      <c r="R77" s="450"/>
      <c r="S77" s="224"/>
      <c r="T77" s="227" t="s">
        <v>30</v>
      </c>
      <c r="U77" s="224"/>
      <c r="V77" s="450" t="str">
        <f t="shared" si="33"/>
        <v/>
      </c>
      <c r="W77" s="450"/>
      <c r="X77" s="447" t="str">
        <f t="shared" ref="X77" si="35">IFERROR(VLOOKUP(AS77,$C$67:$N$69,3,0),"")&amp;IFERROR(VLOOKUP(AS77,$Q$67:$AB$69,3,0),"")&amp;IFERROR(VLOOKUP(AS77,$AE$67:$AP$69,3,0),"")</f>
        <v>上三川ＳＣ</v>
      </c>
      <c r="Y77" s="530"/>
      <c r="Z77" s="530"/>
      <c r="AA77" s="530"/>
      <c r="AB77" s="530"/>
      <c r="AC77" s="530"/>
      <c r="AD77" s="530"/>
      <c r="AE77" s="443"/>
      <c r="AF77" s="444"/>
      <c r="AG77" s="444"/>
      <c r="AH77" s="444"/>
      <c r="AI77" s="450" t="str">
        <f t="shared" ref="AI77" ca="1" si="36">DBCS(INDIRECT("U12対戦スケジュール!g"&amp;(ROW()-1)/2+18))</f>
        <v>６／７／７／６</v>
      </c>
      <c r="AJ77" s="444"/>
      <c r="AK77" s="444"/>
      <c r="AL77" s="444"/>
      <c r="AM77" s="444"/>
      <c r="AN77" s="444"/>
      <c r="AO77" s="444"/>
      <c r="AP77" s="444"/>
      <c r="AR77" s="56">
        <v>5</v>
      </c>
      <c r="AS77" s="56">
        <v>9</v>
      </c>
    </row>
    <row r="78" spans="2:45" ht="20.100000000000001" customHeight="1" x14ac:dyDescent="0.4">
      <c r="B78" s="472"/>
      <c r="C78" s="449"/>
      <c r="D78" s="449"/>
      <c r="E78" s="449"/>
      <c r="F78" s="444"/>
      <c r="G78" s="444"/>
      <c r="H78" s="444"/>
      <c r="I78" s="444"/>
      <c r="J78" s="529"/>
      <c r="K78" s="529"/>
      <c r="L78" s="529"/>
      <c r="M78" s="529"/>
      <c r="N78" s="529"/>
      <c r="O78" s="529"/>
      <c r="P78" s="529"/>
      <c r="Q78" s="450"/>
      <c r="R78" s="450"/>
      <c r="S78" s="224"/>
      <c r="T78" s="227" t="s">
        <v>30</v>
      </c>
      <c r="U78" s="224"/>
      <c r="V78" s="450"/>
      <c r="W78" s="450"/>
      <c r="X78" s="530"/>
      <c r="Y78" s="530"/>
      <c r="Z78" s="530"/>
      <c r="AA78" s="530"/>
      <c r="AB78" s="530"/>
      <c r="AC78" s="530"/>
      <c r="AD78" s="530"/>
      <c r="AE78" s="444"/>
      <c r="AF78" s="444"/>
      <c r="AG78" s="444"/>
      <c r="AH78" s="444"/>
      <c r="AI78" s="444"/>
      <c r="AJ78" s="444"/>
      <c r="AK78" s="444"/>
      <c r="AL78" s="444"/>
      <c r="AM78" s="444"/>
      <c r="AN78" s="444"/>
      <c r="AO78" s="444"/>
      <c r="AP78" s="444"/>
    </row>
    <row r="79" spans="2:45" ht="20.100000000000001" customHeight="1" x14ac:dyDescent="0.4">
      <c r="B79" s="472">
        <v>3</v>
      </c>
      <c r="C79" s="449">
        <v>0.43055555555555558</v>
      </c>
      <c r="D79" s="449"/>
      <c r="E79" s="449"/>
      <c r="F79" s="443"/>
      <c r="G79" s="444"/>
      <c r="H79" s="444"/>
      <c r="I79" s="444"/>
      <c r="J79" s="445" t="str">
        <f t="shared" ref="J79" si="37">IFERROR(VLOOKUP(AR79,$C$67:$N$69,3,0),"")&amp;IFERROR(VLOOKUP(AR79,$Q$67:$AB$69,3,0),"")&amp;IFERROR(VLOOKUP(AR79,$AE$67:$AP$69,3,0),"")</f>
        <v>ＦＣグラシアス</v>
      </c>
      <c r="K79" s="529"/>
      <c r="L79" s="529"/>
      <c r="M79" s="529"/>
      <c r="N79" s="529"/>
      <c r="O79" s="529"/>
      <c r="P79" s="529"/>
      <c r="Q79" s="450" t="str">
        <f t="shared" si="32"/>
        <v/>
      </c>
      <c r="R79" s="450"/>
      <c r="S79" s="224"/>
      <c r="T79" s="227" t="s">
        <v>30</v>
      </c>
      <c r="U79" s="224"/>
      <c r="V79" s="450" t="str">
        <f t="shared" si="33"/>
        <v/>
      </c>
      <c r="W79" s="450"/>
      <c r="X79" s="447" t="str">
        <f t="shared" ref="X79" si="38">IFERROR(VLOOKUP(AS79,$C$67:$N$69,3,0),"")&amp;IFERROR(VLOOKUP(AS79,$Q$67:$AB$69,3,0),"")&amp;IFERROR(VLOOKUP(AS79,$AE$67:$AP$69,3,0),"")</f>
        <v>雀宮ＦＣセカンド</v>
      </c>
      <c r="Y79" s="530"/>
      <c r="Z79" s="530"/>
      <c r="AA79" s="530"/>
      <c r="AB79" s="530"/>
      <c r="AC79" s="530"/>
      <c r="AD79" s="530"/>
      <c r="AE79" s="443"/>
      <c r="AF79" s="444"/>
      <c r="AG79" s="444"/>
      <c r="AH79" s="444"/>
      <c r="AI79" s="450" t="str">
        <f t="shared" ref="AI79" ca="1" si="39">DBCS(INDIRECT("U12対戦スケジュール!g"&amp;(ROW()-1)/2+18))</f>
        <v>１／５／５／１</v>
      </c>
      <c r="AJ79" s="444"/>
      <c r="AK79" s="444"/>
      <c r="AL79" s="444"/>
      <c r="AM79" s="444"/>
      <c r="AN79" s="444"/>
      <c r="AO79" s="444"/>
      <c r="AP79" s="444"/>
      <c r="AR79" s="56">
        <v>2</v>
      </c>
      <c r="AS79" s="56">
        <v>6</v>
      </c>
    </row>
    <row r="80" spans="2:45" ht="20.100000000000001" customHeight="1" x14ac:dyDescent="0.4">
      <c r="B80" s="472"/>
      <c r="C80" s="449"/>
      <c r="D80" s="449"/>
      <c r="E80" s="449"/>
      <c r="F80" s="444"/>
      <c r="G80" s="444"/>
      <c r="H80" s="444"/>
      <c r="I80" s="444"/>
      <c r="J80" s="529"/>
      <c r="K80" s="529"/>
      <c r="L80" s="529"/>
      <c r="M80" s="529"/>
      <c r="N80" s="529"/>
      <c r="O80" s="529"/>
      <c r="P80" s="529"/>
      <c r="Q80" s="450"/>
      <c r="R80" s="450"/>
      <c r="S80" s="224"/>
      <c r="T80" s="227" t="s">
        <v>30</v>
      </c>
      <c r="U80" s="224"/>
      <c r="V80" s="450"/>
      <c r="W80" s="450"/>
      <c r="X80" s="530"/>
      <c r="Y80" s="530"/>
      <c r="Z80" s="530"/>
      <c r="AA80" s="530"/>
      <c r="AB80" s="530"/>
      <c r="AC80" s="530"/>
      <c r="AD80" s="530"/>
      <c r="AE80" s="444"/>
      <c r="AF80" s="444"/>
      <c r="AG80" s="444"/>
      <c r="AH80" s="444"/>
      <c r="AI80" s="444"/>
      <c r="AJ80" s="444"/>
      <c r="AK80" s="444"/>
      <c r="AL80" s="444"/>
      <c r="AM80" s="444"/>
      <c r="AN80" s="444"/>
      <c r="AO80" s="444"/>
      <c r="AP80" s="444"/>
    </row>
    <row r="81" spans="1:45" ht="20.100000000000001" customHeight="1" x14ac:dyDescent="0.4">
      <c r="B81" s="472">
        <v>4</v>
      </c>
      <c r="C81" s="449">
        <v>0.45833333333333331</v>
      </c>
      <c r="D81" s="449">
        <v>0.4375</v>
      </c>
      <c r="E81" s="449"/>
      <c r="F81" s="443"/>
      <c r="G81" s="444"/>
      <c r="H81" s="444"/>
      <c r="I81" s="444"/>
      <c r="J81" s="445" t="str">
        <f t="shared" ref="J81" si="40">IFERROR(VLOOKUP(AR81,$C$67:$N$69,3,0),"")&amp;IFERROR(VLOOKUP(AR81,$Q$67:$AB$69,3,0),"")&amp;IFERROR(VLOOKUP(AR81,$AE$67:$AP$69,3,0),"")</f>
        <v>ＳＵＧＡＯ ＳＣ</v>
      </c>
      <c r="K81" s="529"/>
      <c r="L81" s="529"/>
      <c r="M81" s="529"/>
      <c r="N81" s="529"/>
      <c r="O81" s="529"/>
      <c r="P81" s="529"/>
      <c r="Q81" s="450" t="str">
        <f t="shared" ref="Q81:Q85" si="41">IF(OR(S81="",S82=""),"",S81+S82)</f>
        <v/>
      </c>
      <c r="R81" s="450"/>
      <c r="S81" s="224"/>
      <c r="T81" s="227" t="s">
        <v>30</v>
      </c>
      <c r="U81" s="224"/>
      <c r="V81" s="450" t="str">
        <f t="shared" ref="V81:V85" si="42">IF(OR(U81="",U82=""),"",U81+U82)</f>
        <v/>
      </c>
      <c r="W81" s="450"/>
      <c r="X81" s="447" t="str">
        <f t="shared" ref="X81" si="43">IFERROR(VLOOKUP(AS81,$C$67:$N$69,3,0),"")&amp;IFERROR(VLOOKUP(AS81,$Q$67:$AB$69,3,0),"")&amp;IFERROR(VLOOKUP(AS81,$AE$67:$AP$69,3,0),"")</f>
        <v>ウエストフットコム</v>
      </c>
      <c r="Y81" s="530"/>
      <c r="Z81" s="530"/>
      <c r="AA81" s="530"/>
      <c r="AB81" s="530"/>
      <c r="AC81" s="530"/>
      <c r="AD81" s="530"/>
      <c r="AE81" s="443"/>
      <c r="AF81" s="444"/>
      <c r="AG81" s="444"/>
      <c r="AH81" s="444"/>
      <c r="AI81" s="450" t="str">
        <f t="shared" ref="AI81" ca="1" si="44">DBCS(INDIRECT("U12対戦スケジュール!g"&amp;(ROW()-1)/2+18))</f>
        <v>２／６／６／２</v>
      </c>
      <c r="AJ81" s="444"/>
      <c r="AK81" s="444"/>
      <c r="AL81" s="444"/>
      <c r="AM81" s="444"/>
      <c r="AN81" s="444"/>
      <c r="AO81" s="444"/>
      <c r="AP81" s="444"/>
      <c r="AR81" s="56">
        <v>1</v>
      </c>
      <c r="AS81" s="56">
        <v>5</v>
      </c>
    </row>
    <row r="82" spans="1:45" ht="20.100000000000001" customHeight="1" x14ac:dyDescent="0.4">
      <c r="B82" s="472"/>
      <c r="C82" s="449"/>
      <c r="D82" s="449"/>
      <c r="E82" s="449"/>
      <c r="F82" s="444"/>
      <c r="G82" s="444"/>
      <c r="H82" s="444"/>
      <c r="I82" s="444"/>
      <c r="J82" s="529"/>
      <c r="K82" s="529"/>
      <c r="L82" s="529"/>
      <c r="M82" s="529"/>
      <c r="N82" s="529"/>
      <c r="O82" s="529"/>
      <c r="P82" s="529"/>
      <c r="Q82" s="450"/>
      <c r="R82" s="450"/>
      <c r="S82" s="224"/>
      <c r="T82" s="227" t="s">
        <v>30</v>
      </c>
      <c r="U82" s="224"/>
      <c r="V82" s="450"/>
      <c r="W82" s="450"/>
      <c r="X82" s="530"/>
      <c r="Y82" s="530"/>
      <c r="Z82" s="530"/>
      <c r="AA82" s="530"/>
      <c r="AB82" s="530"/>
      <c r="AC82" s="530"/>
      <c r="AD82" s="530"/>
      <c r="AE82" s="444"/>
      <c r="AF82" s="444"/>
      <c r="AG82" s="444"/>
      <c r="AH82" s="444"/>
      <c r="AI82" s="444"/>
      <c r="AJ82" s="444"/>
      <c r="AK82" s="444"/>
      <c r="AL82" s="444"/>
      <c r="AM82" s="444"/>
      <c r="AN82" s="444"/>
      <c r="AO82" s="444"/>
      <c r="AP82" s="444"/>
    </row>
    <row r="83" spans="1:45" ht="20.100000000000001" customHeight="1" x14ac:dyDescent="0.4">
      <c r="B83" s="472">
        <v>5</v>
      </c>
      <c r="C83" s="449">
        <v>0.4861111111111111</v>
      </c>
      <c r="D83" s="449"/>
      <c r="E83" s="449"/>
      <c r="F83" s="443"/>
      <c r="G83" s="444"/>
      <c r="H83" s="444"/>
      <c r="I83" s="444"/>
      <c r="J83" s="445" t="str">
        <f t="shared" ref="J83" si="45">IFERROR(VLOOKUP(AR83,$C$67:$N$69,3,0),"")&amp;IFERROR(VLOOKUP(AR83,$Q$67:$AB$69,3,0),"")&amp;IFERROR(VLOOKUP(AR83,$AE$67:$AP$69,3,0),"")</f>
        <v>ともぞうＳＣ</v>
      </c>
      <c r="K83" s="529"/>
      <c r="L83" s="529"/>
      <c r="M83" s="529"/>
      <c r="N83" s="529"/>
      <c r="O83" s="529"/>
      <c r="P83" s="529"/>
      <c r="Q83" s="450" t="str">
        <f t="shared" si="41"/>
        <v/>
      </c>
      <c r="R83" s="450"/>
      <c r="S83" s="224"/>
      <c r="T83" s="227" t="s">
        <v>30</v>
      </c>
      <c r="U83" s="224"/>
      <c r="V83" s="450" t="str">
        <f t="shared" si="42"/>
        <v/>
      </c>
      <c r="W83" s="450"/>
      <c r="X83" s="447" t="str">
        <f t="shared" ref="X83" si="46">IFERROR(VLOOKUP(AS83,$C$67:$N$69,3,0),"")&amp;IFERROR(VLOOKUP(AS83,$Q$67:$AB$69,3,0),"")&amp;IFERROR(VLOOKUP(AS83,$AE$67:$AP$69,3,0),"")</f>
        <v>ＦＣグラシアス</v>
      </c>
      <c r="Y83" s="530"/>
      <c r="Z83" s="530"/>
      <c r="AA83" s="530"/>
      <c r="AB83" s="530"/>
      <c r="AC83" s="530"/>
      <c r="AD83" s="530"/>
      <c r="AE83" s="443"/>
      <c r="AF83" s="444"/>
      <c r="AG83" s="444"/>
      <c r="AH83" s="444"/>
      <c r="AI83" s="450" t="str">
        <f t="shared" ref="AI83" ca="1" si="47">DBCS(INDIRECT("U12対戦スケジュール!g"&amp;(ROW()-1)/2+18))</f>
        <v>９／１／１／９</v>
      </c>
      <c r="AJ83" s="444"/>
      <c r="AK83" s="444"/>
      <c r="AL83" s="444"/>
      <c r="AM83" s="444"/>
      <c r="AN83" s="444"/>
      <c r="AO83" s="444"/>
      <c r="AP83" s="444"/>
      <c r="AR83" s="56">
        <v>7</v>
      </c>
      <c r="AS83" s="56">
        <v>2</v>
      </c>
    </row>
    <row r="84" spans="1:45" ht="20.100000000000001" customHeight="1" x14ac:dyDescent="0.4">
      <c r="B84" s="472"/>
      <c r="C84" s="449"/>
      <c r="D84" s="449"/>
      <c r="E84" s="449"/>
      <c r="F84" s="444"/>
      <c r="G84" s="444"/>
      <c r="H84" s="444"/>
      <c r="I84" s="444"/>
      <c r="J84" s="529"/>
      <c r="K84" s="529"/>
      <c r="L84" s="529"/>
      <c r="M84" s="529"/>
      <c r="N84" s="529"/>
      <c r="O84" s="529"/>
      <c r="P84" s="529"/>
      <c r="Q84" s="450"/>
      <c r="R84" s="450"/>
      <c r="S84" s="224"/>
      <c r="T84" s="227" t="s">
        <v>30</v>
      </c>
      <c r="U84" s="224"/>
      <c r="V84" s="450"/>
      <c r="W84" s="450"/>
      <c r="X84" s="530"/>
      <c r="Y84" s="530"/>
      <c r="Z84" s="530"/>
      <c r="AA84" s="530"/>
      <c r="AB84" s="530"/>
      <c r="AC84" s="530"/>
      <c r="AD84" s="530"/>
      <c r="AE84" s="444"/>
      <c r="AF84" s="444"/>
      <c r="AG84" s="444"/>
      <c r="AH84" s="444"/>
      <c r="AI84" s="444"/>
      <c r="AJ84" s="444"/>
      <c r="AK84" s="444"/>
      <c r="AL84" s="444"/>
      <c r="AM84" s="444"/>
      <c r="AN84" s="444"/>
      <c r="AO84" s="444"/>
      <c r="AP84" s="444"/>
    </row>
    <row r="85" spans="1:45" ht="20.100000000000001" customHeight="1" x14ac:dyDescent="0.4">
      <c r="B85" s="472">
        <v>6</v>
      </c>
      <c r="C85" s="449">
        <v>0.51388888888888895</v>
      </c>
      <c r="D85" s="449">
        <v>0.4375</v>
      </c>
      <c r="E85" s="449"/>
      <c r="F85" s="443"/>
      <c r="G85" s="444"/>
      <c r="H85" s="444"/>
      <c r="I85" s="444"/>
      <c r="J85" s="445" t="str">
        <f t="shared" ref="J85" si="48">IFERROR(VLOOKUP(AR85,$C$67:$N$69,3,0),"")&amp;IFERROR(VLOOKUP(AR85,$Q$67:$AB$69,3,0),"")&amp;IFERROR(VLOOKUP(AR85,$AE$67:$AP$69,3,0),"")</f>
        <v>上三川ＳＣ</v>
      </c>
      <c r="K85" s="529"/>
      <c r="L85" s="529"/>
      <c r="M85" s="529"/>
      <c r="N85" s="529"/>
      <c r="O85" s="529"/>
      <c r="P85" s="529"/>
      <c r="Q85" s="450" t="str">
        <f t="shared" si="41"/>
        <v/>
      </c>
      <c r="R85" s="450"/>
      <c r="S85" s="224"/>
      <c r="T85" s="227" t="s">
        <v>30</v>
      </c>
      <c r="U85" s="224"/>
      <c r="V85" s="450" t="str">
        <f t="shared" si="42"/>
        <v/>
      </c>
      <c r="W85" s="450"/>
      <c r="X85" s="447" t="str">
        <f t="shared" ref="X85" si="49">IFERROR(VLOOKUP(AS85,$C$67:$N$69,3,0),"")&amp;IFERROR(VLOOKUP(AS85,$Q$67:$AB$69,3,0),"")&amp;IFERROR(VLOOKUP(AS85,$AE$67:$AP$69,3,0),"")</f>
        <v>ＳＵＧＡＯ ＳＣ</v>
      </c>
      <c r="Y85" s="530"/>
      <c r="Z85" s="530"/>
      <c r="AA85" s="530"/>
      <c r="AB85" s="530"/>
      <c r="AC85" s="530"/>
      <c r="AD85" s="530"/>
      <c r="AE85" s="443"/>
      <c r="AF85" s="444"/>
      <c r="AG85" s="444"/>
      <c r="AH85" s="444"/>
      <c r="AI85" s="450" t="str">
        <f t="shared" ref="AI85" ca="1" si="50">DBCS(INDIRECT("U12対戦スケジュール!g"&amp;(ROW()-1)/2+18))</f>
        <v>７／２／２／７</v>
      </c>
      <c r="AJ85" s="444"/>
      <c r="AK85" s="444"/>
      <c r="AL85" s="444"/>
      <c r="AM85" s="444"/>
      <c r="AN85" s="444"/>
      <c r="AO85" s="444"/>
      <c r="AP85" s="444"/>
      <c r="AR85" s="56">
        <v>9</v>
      </c>
      <c r="AS85" s="56">
        <v>1</v>
      </c>
    </row>
    <row r="86" spans="1:45" ht="20.100000000000001" customHeight="1" x14ac:dyDescent="0.4">
      <c r="B86" s="472"/>
      <c r="C86" s="449"/>
      <c r="D86" s="449"/>
      <c r="E86" s="449"/>
      <c r="F86" s="444"/>
      <c r="G86" s="444"/>
      <c r="H86" s="444"/>
      <c r="I86" s="444"/>
      <c r="J86" s="529"/>
      <c r="K86" s="529"/>
      <c r="L86" s="529"/>
      <c r="M86" s="529"/>
      <c r="N86" s="529"/>
      <c r="O86" s="529"/>
      <c r="P86" s="529"/>
      <c r="Q86" s="450"/>
      <c r="R86" s="450"/>
      <c r="S86" s="224"/>
      <c r="T86" s="227" t="s">
        <v>30</v>
      </c>
      <c r="U86" s="224"/>
      <c r="V86" s="450"/>
      <c r="W86" s="450"/>
      <c r="X86" s="530"/>
      <c r="Y86" s="530"/>
      <c r="Z86" s="530"/>
      <c r="AA86" s="530"/>
      <c r="AB86" s="530"/>
      <c r="AC86" s="530"/>
      <c r="AD86" s="530"/>
      <c r="AE86" s="444"/>
      <c r="AF86" s="444"/>
      <c r="AG86" s="444"/>
      <c r="AH86" s="444"/>
      <c r="AI86" s="444"/>
      <c r="AJ86" s="444"/>
      <c r="AK86" s="444"/>
      <c r="AL86" s="444"/>
      <c r="AM86" s="444"/>
      <c r="AN86" s="444"/>
      <c r="AO86" s="444"/>
      <c r="AP86" s="444"/>
    </row>
    <row r="87" spans="1:45" ht="20.100000000000001" hidden="1" customHeight="1" x14ac:dyDescent="0.4">
      <c r="B87" s="472">
        <v>7</v>
      </c>
      <c r="C87" s="449">
        <v>0.54166666666666663</v>
      </c>
      <c r="D87" s="449">
        <v>0.4375</v>
      </c>
      <c r="E87" s="449"/>
      <c r="F87" s="443"/>
      <c r="G87" s="444"/>
      <c r="H87" s="444"/>
      <c r="I87" s="444"/>
      <c r="J87" s="531"/>
      <c r="K87" s="532"/>
      <c r="L87" s="532"/>
      <c r="M87" s="532"/>
      <c r="N87" s="532"/>
      <c r="O87" s="532"/>
      <c r="P87" s="532"/>
      <c r="Q87" s="450" t="str">
        <f>IF(OR(S87="",S88=""),"",S87+S88)</f>
        <v/>
      </c>
      <c r="R87" s="450"/>
      <c r="S87" s="224"/>
      <c r="T87" s="227" t="s">
        <v>30</v>
      </c>
      <c r="U87" s="224"/>
      <c r="V87" s="450" t="str">
        <f>IF(OR(U87="",U88=""),"",U87+U88)</f>
        <v/>
      </c>
      <c r="W87" s="450"/>
      <c r="X87" s="533"/>
      <c r="Y87" s="534"/>
      <c r="Z87" s="534"/>
      <c r="AA87" s="534"/>
      <c r="AB87" s="534"/>
      <c r="AC87" s="534"/>
      <c r="AD87" s="534"/>
      <c r="AE87" s="443"/>
      <c r="AF87" s="444"/>
      <c r="AG87" s="444"/>
      <c r="AH87" s="444"/>
      <c r="AI87" s="450"/>
      <c r="AJ87" s="444"/>
      <c r="AK87" s="444"/>
      <c r="AL87" s="444"/>
      <c r="AM87" s="444"/>
      <c r="AN87" s="444"/>
      <c r="AO87" s="444"/>
      <c r="AP87" s="444"/>
    </row>
    <row r="88" spans="1:45" ht="20.100000000000001" hidden="1" customHeight="1" x14ac:dyDescent="0.4">
      <c r="B88" s="472"/>
      <c r="C88" s="449"/>
      <c r="D88" s="449"/>
      <c r="E88" s="449"/>
      <c r="F88" s="444"/>
      <c r="G88" s="444"/>
      <c r="H88" s="444"/>
      <c r="I88" s="444"/>
      <c r="J88" s="532"/>
      <c r="K88" s="532"/>
      <c r="L88" s="532"/>
      <c r="M88" s="532"/>
      <c r="N88" s="532"/>
      <c r="O88" s="532"/>
      <c r="P88" s="532"/>
      <c r="Q88" s="450"/>
      <c r="R88" s="450"/>
      <c r="S88" s="224"/>
      <c r="T88" s="227" t="s">
        <v>30</v>
      </c>
      <c r="U88" s="224"/>
      <c r="V88" s="450"/>
      <c r="W88" s="450"/>
      <c r="X88" s="534"/>
      <c r="Y88" s="534"/>
      <c r="Z88" s="534"/>
      <c r="AA88" s="534"/>
      <c r="AB88" s="534"/>
      <c r="AC88" s="534"/>
      <c r="AD88" s="534"/>
      <c r="AE88" s="444"/>
      <c r="AF88" s="444"/>
      <c r="AG88" s="444"/>
      <c r="AH88" s="444"/>
      <c r="AI88" s="444"/>
      <c r="AJ88" s="444"/>
      <c r="AK88" s="444"/>
      <c r="AL88" s="444"/>
      <c r="AM88" s="444"/>
      <c r="AN88" s="444"/>
      <c r="AO88" s="444"/>
      <c r="AP88" s="444"/>
    </row>
    <row r="89" spans="1:45" s="55" customFormat="1" ht="15.75" customHeight="1" x14ac:dyDescent="0.4">
      <c r="A89" s="58"/>
      <c r="B89" s="59"/>
      <c r="C89" s="60"/>
      <c r="D89" s="60"/>
      <c r="E89" s="60"/>
      <c r="F89" s="59"/>
      <c r="G89" s="59"/>
      <c r="H89" s="59"/>
      <c r="I89" s="59"/>
      <c r="J89" s="59"/>
      <c r="K89" s="61"/>
      <c r="L89" s="61"/>
      <c r="M89" s="62"/>
      <c r="N89" s="63"/>
      <c r="O89" s="62"/>
      <c r="P89" s="61"/>
      <c r="Q89" s="61"/>
      <c r="R89" s="59"/>
      <c r="S89" s="59"/>
      <c r="T89" s="59"/>
      <c r="U89" s="59"/>
      <c r="V89" s="59"/>
      <c r="W89" s="66"/>
      <c r="X89" s="66"/>
      <c r="Y89" s="66"/>
      <c r="Z89" s="66"/>
      <c r="AA89" s="66"/>
      <c r="AB89" s="66"/>
      <c r="AC89" s="58"/>
    </row>
    <row r="90" spans="1:45" ht="20.25" customHeight="1" x14ac:dyDescent="0.4">
      <c r="D90" s="477" t="s">
        <v>31</v>
      </c>
      <c r="E90" s="477"/>
      <c r="F90" s="477"/>
      <c r="G90" s="477"/>
      <c r="H90" s="477"/>
      <c r="I90" s="477"/>
      <c r="J90" s="477" t="s">
        <v>27</v>
      </c>
      <c r="K90" s="477"/>
      <c r="L90" s="477"/>
      <c r="M90" s="477"/>
      <c r="N90" s="477"/>
      <c r="O90" s="477"/>
      <c r="P90" s="477"/>
      <c r="Q90" s="477"/>
      <c r="R90" s="478" t="s">
        <v>32</v>
      </c>
      <c r="S90" s="478"/>
      <c r="T90" s="478"/>
      <c r="U90" s="478"/>
      <c r="V90" s="478"/>
      <c r="W90" s="478"/>
      <c r="X90" s="478"/>
      <c r="Y90" s="478"/>
      <c r="Z90" s="478"/>
      <c r="AA90" s="479" t="s">
        <v>33</v>
      </c>
      <c r="AB90" s="479"/>
      <c r="AC90" s="479"/>
      <c r="AD90" s="479" t="s">
        <v>34</v>
      </c>
      <c r="AE90" s="479"/>
      <c r="AF90" s="479"/>
      <c r="AG90" s="479"/>
      <c r="AH90" s="479"/>
      <c r="AI90" s="479"/>
      <c r="AJ90" s="479"/>
      <c r="AK90" s="479"/>
      <c r="AL90" s="479"/>
      <c r="AM90" s="479"/>
    </row>
    <row r="91" spans="1:45" ht="30" customHeight="1" x14ac:dyDescent="0.4">
      <c r="D91" s="477" t="s">
        <v>35</v>
      </c>
      <c r="E91" s="477"/>
      <c r="F91" s="477"/>
      <c r="G91" s="477"/>
      <c r="H91" s="477"/>
      <c r="I91" s="477"/>
      <c r="J91" s="477"/>
      <c r="K91" s="477"/>
      <c r="L91" s="477"/>
      <c r="M91" s="477"/>
      <c r="N91" s="477"/>
      <c r="O91" s="477"/>
      <c r="P91" s="477"/>
      <c r="Q91" s="477"/>
      <c r="R91" s="478"/>
      <c r="S91" s="478"/>
      <c r="T91" s="478"/>
      <c r="U91" s="478"/>
      <c r="V91" s="478"/>
      <c r="W91" s="478"/>
      <c r="X91" s="478"/>
      <c r="Y91" s="478"/>
      <c r="Z91" s="478"/>
      <c r="AA91" s="481"/>
      <c r="AB91" s="481"/>
      <c r="AC91" s="481"/>
      <c r="AD91" s="480"/>
      <c r="AE91" s="480"/>
      <c r="AF91" s="480"/>
      <c r="AG91" s="480"/>
      <c r="AH91" s="480"/>
      <c r="AI91" s="480"/>
      <c r="AJ91" s="480"/>
      <c r="AK91" s="480"/>
      <c r="AL91" s="480"/>
      <c r="AM91" s="480"/>
    </row>
    <row r="92" spans="1:45" ht="30" customHeight="1" x14ac:dyDescent="0.4">
      <c r="D92" s="477" t="s">
        <v>35</v>
      </c>
      <c r="E92" s="477"/>
      <c r="F92" s="477"/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77"/>
      <c r="R92" s="478"/>
      <c r="S92" s="478"/>
      <c r="T92" s="478"/>
      <c r="U92" s="478"/>
      <c r="V92" s="478"/>
      <c r="W92" s="478"/>
      <c r="X92" s="478"/>
      <c r="Y92" s="478"/>
      <c r="Z92" s="478"/>
      <c r="AA92" s="479"/>
      <c r="AB92" s="479"/>
      <c r="AC92" s="479"/>
      <c r="AD92" s="480"/>
      <c r="AE92" s="480"/>
      <c r="AF92" s="480"/>
      <c r="AG92" s="480"/>
      <c r="AH92" s="480"/>
      <c r="AI92" s="480"/>
      <c r="AJ92" s="480"/>
      <c r="AK92" s="480"/>
      <c r="AL92" s="480"/>
      <c r="AM92" s="480"/>
    </row>
    <row r="93" spans="1:45" ht="30" customHeight="1" x14ac:dyDescent="0.4">
      <c r="D93" s="477" t="s">
        <v>35</v>
      </c>
      <c r="E93" s="477"/>
      <c r="F93" s="477"/>
      <c r="G93" s="477"/>
      <c r="H93" s="477"/>
      <c r="I93" s="477"/>
      <c r="J93" s="477"/>
      <c r="K93" s="477"/>
      <c r="L93" s="477"/>
      <c r="M93" s="477"/>
      <c r="N93" s="477"/>
      <c r="O93" s="477"/>
      <c r="P93" s="477"/>
      <c r="Q93" s="477"/>
      <c r="R93" s="478"/>
      <c r="S93" s="478"/>
      <c r="T93" s="478"/>
      <c r="U93" s="478"/>
      <c r="V93" s="478"/>
      <c r="W93" s="478"/>
      <c r="X93" s="478"/>
      <c r="Y93" s="478"/>
      <c r="Z93" s="478"/>
      <c r="AA93" s="479"/>
      <c r="AB93" s="479"/>
      <c r="AC93" s="479"/>
      <c r="AD93" s="480"/>
      <c r="AE93" s="480"/>
      <c r="AF93" s="480"/>
      <c r="AG93" s="480"/>
      <c r="AH93" s="480"/>
      <c r="AI93" s="480"/>
      <c r="AJ93" s="480"/>
      <c r="AK93" s="480"/>
      <c r="AL93" s="480"/>
      <c r="AM93" s="480"/>
    </row>
    <row r="94" spans="1:45" ht="14.25" customHeight="1" x14ac:dyDescent="0.4">
      <c r="A94" s="451" t="s">
        <v>559</v>
      </c>
      <c r="B94" s="451"/>
      <c r="C94" s="451"/>
      <c r="D94" s="451"/>
      <c r="E94" s="451"/>
      <c r="F94" s="451"/>
      <c r="G94" s="451"/>
      <c r="H94" s="451"/>
      <c r="I94" s="451"/>
      <c r="J94" s="451"/>
      <c r="K94" s="451"/>
      <c r="L94" s="451"/>
      <c r="M94" s="451"/>
      <c r="N94" s="451"/>
      <c r="O94" s="451"/>
      <c r="P94" s="451"/>
      <c r="Q94" s="451"/>
      <c r="R94" s="451"/>
      <c r="S94" s="451"/>
      <c r="T94" s="451"/>
      <c r="U94" s="451"/>
      <c r="V94" s="451"/>
      <c r="W94" s="451"/>
      <c r="X94" s="451"/>
      <c r="Y94" s="451"/>
      <c r="Z94" s="451"/>
      <c r="AA94" s="451"/>
      <c r="AB94" s="451"/>
      <c r="AC94" s="451"/>
      <c r="AD94" s="451"/>
      <c r="AE94" s="451"/>
      <c r="AF94" s="451"/>
      <c r="AG94" s="451"/>
      <c r="AH94" s="451"/>
      <c r="AI94" s="451"/>
      <c r="AJ94" s="451"/>
      <c r="AK94" s="451"/>
      <c r="AL94" s="451"/>
      <c r="AM94" s="451"/>
      <c r="AN94" s="451"/>
      <c r="AO94" s="451"/>
      <c r="AP94" s="451"/>
      <c r="AQ94" s="451"/>
    </row>
    <row r="95" spans="1:45" ht="14.25" customHeight="1" x14ac:dyDescent="0.4">
      <c r="A95" s="451"/>
      <c r="B95" s="451"/>
      <c r="C95" s="451"/>
      <c r="D95" s="451"/>
      <c r="E95" s="451"/>
      <c r="F95" s="451"/>
      <c r="G95" s="451"/>
      <c r="H95" s="451"/>
      <c r="I95" s="451"/>
      <c r="J95" s="451"/>
      <c r="K95" s="451"/>
      <c r="L95" s="451"/>
      <c r="M95" s="451"/>
      <c r="N95" s="451"/>
      <c r="O95" s="451"/>
      <c r="P95" s="451"/>
      <c r="Q95" s="451"/>
      <c r="R95" s="451"/>
      <c r="S95" s="451"/>
      <c r="T95" s="451"/>
      <c r="U95" s="451"/>
      <c r="V95" s="451"/>
      <c r="W95" s="451"/>
      <c r="X95" s="451"/>
      <c r="Y95" s="451"/>
      <c r="Z95" s="451"/>
      <c r="AA95" s="451"/>
      <c r="AB95" s="451"/>
      <c r="AC95" s="451"/>
      <c r="AD95" s="451"/>
      <c r="AE95" s="451"/>
      <c r="AF95" s="451"/>
      <c r="AG95" s="451"/>
      <c r="AH95" s="451"/>
      <c r="AI95" s="451"/>
      <c r="AJ95" s="451"/>
      <c r="AK95" s="451"/>
      <c r="AL95" s="451"/>
      <c r="AM95" s="451"/>
      <c r="AN95" s="451"/>
      <c r="AO95" s="451"/>
      <c r="AP95" s="451"/>
      <c r="AQ95" s="451"/>
    </row>
    <row r="96" spans="1:45" ht="27.75" customHeight="1" x14ac:dyDescent="0.4">
      <c r="C96" s="460" t="s">
        <v>8</v>
      </c>
      <c r="D96" s="460"/>
      <c r="E96" s="460"/>
      <c r="F96" s="460"/>
      <c r="G96" s="461" t="str">
        <f>U12対戦スケジュール!F75</f>
        <v>石井緑地 No.３</v>
      </c>
      <c r="H96" s="462"/>
      <c r="I96" s="462"/>
      <c r="J96" s="462"/>
      <c r="K96" s="462"/>
      <c r="L96" s="462"/>
      <c r="M96" s="462"/>
      <c r="N96" s="462"/>
      <c r="O96" s="462"/>
      <c r="P96" s="460" t="s">
        <v>0</v>
      </c>
      <c r="Q96" s="460"/>
      <c r="R96" s="460"/>
      <c r="S96" s="460"/>
      <c r="T96" s="482" t="str">
        <f>U12対戦スケジュール!F76</f>
        <v>ＦＣグラシアス</v>
      </c>
      <c r="U96" s="483"/>
      <c r="V96" s="483"/>
      <c r="W96" s="483"/>
      <c r="X96" s="483"/>
      <c r="Y96" s="483"/>
      <c r="Z96" s="483"/>
      <c r="AA96" s="483"/>
      <c r="AB96" s="483"/>
      <c r="AC96" s="460" t="s">
        <v>9</v>
      </c>
      <c r="AD96" s="460"/>
      <c r="AE96" s="460"/>
      <c r="AF96" s="460"/>
      <c r="AG96" s="484">
        <f>U12組合せ!$B44</f>
        <v>43752</v>
      </c>
      <c r="AH96" s="485"/>
      <c r="AI96" s="485"/>
      <c r="AJ96" s="485"/>
      <c r="AK96" s="485"/>
      <c r="AL96" s="485"/>
      <c r="AM96" s="488" t="str">
        <f>"（"&amp;TEXT(AG96,"aaa")&amp;"）"</f>
        <v>（月）</v>
      </c>
      <c r="AN96" s="488"/>
      <c r="AO96" s="489"/>
    </row>
    <row r="97" spans="2:45" ht="15" customHeight="1" x14ac:dyDescent="0.4"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64"/>
      <c r="X97" s="64"/>
      <c r="Y97" s="64"/>
      <c r="Z97" s="64"/>
      <c r="AA97" s="64"/>
      <c r="AB97" s="64"/>
      <c r="AC97" s="64"/>
    </row>
    <row r="98" spans="2:45" ht="18" customHeight="1" x14ac:dyDescent="0.4">
      <c r="C98" s="475">
        <v>1</v>
      </c>
      <c r="D98" s="475"/>
      <c r="E98" s="513" t="str">
        <f>U12組合せ!$F$14</f>
        <v>ＳＵＧＡＯ ＳＣ</v>
      </c>
      <c r="F98" s="513"/>
      <c r="G98" s="513"/>
      <c r="H98" s="513"/>
      <c r="I98" s="513"/>
      <c r="J98" s="513"/>
      <c r="K98" s="513"/>
      <c r="L98" s="513"/>
      <c r="M98" s="513"/>
      <c r="N98" s="513"/>
      <c r="O98" s="58"/>
      <c r="P98" s="58"/>
      <c r="Q98" s="475">
        <v>2</v>
      </c>
      <c r="R98" s="475"/>
      <c r="S98" s="511" t="str">
        <f>U12組合せ!$F$15</f>
        <v>ＦＣグラシアス</v>
      </c>
      <c r="T98" s="513"/>
      <c r="U98" s="513"/>
      <c r="V98" s="513"/>
      <c r="W98" s="513"/>
      <c r="X98" s="513"/>
      <c r="Y98" s="513"/>
      <c r="Z98" s="513"/>
      <c r="AA98" s="513"/>
      <c r="AB98" s="513"/>
      <c r="AC98" s="68"/>
      <c r="AD98" s="55"/>
      <c r="AE98" s="475">
        <v>3</v>
      </c>
      <c r="AF98" s="475"/>
      <c r="AG98" s="511" t="str">
        <f>U12組合せ!$F$16</f>
        <v>昭和・戸祭ＳＣ-O</v>
      </c>
      <c r="AH98" s="513"/>
      <c r="AI98" s="513"/>
      <c r="AJ98" s="513"/>
      <c r="AK98" s="513"/>
      <c r="AL98" s="513"/>
      <c r="AM98" s="513"/>
      <c r="AN98" s="513"/>
      <c r="AO98" s="513"/>
      <c r="AP98" s="513"/>
    </row>
    <row r="99" spans="2:45" ht="18" customHeight="1" x14ac:dyDescent="0.4">
      <c r="C99" s="475">
        <v>4</v>
      </c>
      <c r="D99" s="475"/>
      <c r="E99" s="511" t="str">
        <f>U12組合せ!$F$17</f>
        <v>シャルムグランツＳＣ</v>
      </c>
      <c r="F99" s="513"/>
      <c r="G99" s="513"/>
      <c r="H99" s="513"/>
      <c r="I99" s="513"/>
      <c r="J99" s="513"/>
      <c r="K99" s="513"/>
      <c r="L99" s="513"/>
      <c r="M99" s="513"/>
      <c r="N99" s="513"/>
      <c r="O99" s="58"/>
      <c r="P99" s="58"/>
      <c r="Q99" s="475">
        <v>5</v>
      </c>
      <c r="R99" s="475"/>
      <c r="S99" s="511" t="str">
        <f>U12組合せ!$F$18</f>
        <v>ウエストフットコム</v>
      </c>
      <c r="T99" s="513"/>
      <c r="U99" s="513"/>
      <c r="V99" s="513"/>
      <c r="W99" s="513"/>
      <c r="X99" s="513"/>
      <c r="Y99" s="513"/>
      <c r="Z99" s="513"/>
      <c r="AA99" s="513"/>
      <c r="AB99" s="513"/>
      <c r="AC99" s="68"/>
      <c r="AD99" s="55"/>
      <c r="AE99" s="475">
        <v>6</v>
      </c>
      <c r="AF99" s="475"/>
      <c r="AG99" s="511" t="str">
        <f>U12組合せ!$F$19</f>
        <v>雀宮ＦＣセカンド</v>
      </c>
      <c r="AH99" s="513"/>
      <c r="AI99" s="513"/>
      <c r="AJ99" s="513"/>
      <c r="AK99" s="513"/>
      <c r="AL99" s="513"/>
      <c r="AM99" s="513"/>
      <c r="AN99" s="513"/>
      <c r="AO99" s="513"/>
      <c r="AP99" s="513"/>
    </row>
    <row r="100" spans="2:45" ht="18" customHeight="1" x14ac:dyDescent="0.4">
      <c r="C100" s="475">
        <v>7</v>
      </c>
      <c r="D100" s="475"/>
      <c r="E100" s="511" t="str">
        <f>U12組合せ!$F$20</f>
        <v>ともぞうＳＣ</v>
      </c>
      <c r="F100" s="513"/>
      <c r="G100" s="513"/>
      <c r="H100" s="513"/>
      <c r="I100" s="513"/>
      <c r="J100" s="513"/>
      <c r="K100" s="513"/>
      <c r="L100" s="513"/>
      <c r="M100" s="513"/>
      <c r="N100" s="513"/>
      <c r="O100" s="58"/>
      <c r="P100" s="58"/>
      <c r="Q100" s="475">
        <v>8</v>
      </c>
      <c r="R100" s="475"/>
      <c r="S100" s="511" t="str">
        <f>U12組合せ!$F$21</f>
        <v>FCブロケード・陽東U11</v>
      </c>
      <c r="T100" s="513"/>
      <c r="U100" s="513"/>
      <c r="V100" s="513"/>
      <c r="W100" s="513"/>
      <c r="X100" s="513"/>
      <c r="Y100" s="513"/>
      <c r="Z100" s="513"/>
      <c r="AA100" s="513"/>
      <c r="AB100" s="513"/>
      <c r="AC100" s="68"/>
      <c r="AD100" s="55"/>
      <c r="AE100" s="475">
        <v>9</v>
      </c>
      <c r="AF100" s="475"/>
      <c r="AG100" s="511" t="str">
        <f>U12組合せ!$F$22</f>
        <v>上三川ＳＣ</v>
      </c>
      <c r="AH100" s="513"/>
      <c r="AI100" s="513"/>
      <c r="AJ100" s="513"/>
      <c r="AK100" s="513"/>
      <c r="AL100" s="513"/>
      <c r="AM100" s="513"/>
      <c r="AN100" s="513"/>
      <c r="AO100" s="513"/>
      <c r="AP100" s="513"/>
    </row>
    <row r="101" spans="2:45" ht="18" customHeight="1" x14ac:dyDescent="0.4">
      <c r="C101" s="475"/>
      <c r="D101" s="475"/>
      <c r="E101" s="511"/>
      <c r="F101" s="476"/>
      <c r="G101" s="476"/>
      <c r="H101" s="476"/>
      <c r="I101" s="476"/>
      <c r="J101" s="476"/>
      <c r="K101" s="476"/>
      <c r="L101" s="476"/>
      <c r="M101" s="476"/>
      <c r="N101" s="476"/>
      <c r="O101" s="58"/>
      <c r="P101" s="58"/>
      <c r="Q101" s="475"/>
      <c r="R101" s="475"/>
      <c r="S101" s="511"/>
      <c r="T101" s="476"/>
      <c r="U101" s="476"/>
      <c r="V101" s="476"/>
      <c r="W101" s="476"/>
      <c r="X101" s="476"/>
      <c r="Y101" s="476"/>
      <c r="Z101" s="476"/>
      <c r="AA101" s="476"/>
      <c r="AB101" s="476"/>
      <c r="AC101" s="68"/>
      <c r="AD101" s="58"/>
      <c r="AE101" s="475"/>
      <c r="AF101" s="475"/>
      <c r="AG101" s="476"/>
      <c r="AH101" s="476"/>
      <c r="AI101" s="476"/>
      <c r="AJ101" s="476"/>
      <c r="AK101" s="476"/>
      <c r="AL101" s="476"/>
      <c r="AM101" s="476"/>
      <c r="AN101" s="476"/>
      <c r="AO101" s="476"/>
      <c r="AP101" s="476"/>
    </row>
    <row r="102" spans="2:45" ht="18" customHeight="1" x14ac:dyDescent="0.4">
      <c r="C102" s="475"/>
      <c r="D102" s="475"/>
      <c r="E102" s="511"/>
      <c r="F102" s="476"/>
      <c r="G102" s="476"/>
      <c r="H102" s="476"/>
      <c r="I102" s="476"/>
      <c r="J102" s="476"/>
      <c r="K102" s="476"/>
      <c r="L102" s="476"/>
      <c r="M102" s="476"/>
      <c r="N102" s="476"/>
      <c r="O102" s="58"/>
      <c r="P102" s="58"/>
      <c r="Q102" s="475"/>
      <c r="R102" s="475"/>
      <c r="S102" s="511"/>
      <c r="T102" s="476"/>
      <c r="U102" s="476"/>
      <c r="V102" s="476"/>
      <c r="W102" s="476"/>
      <c r="X102" s="476"/>
      <c r="Y102" s="476"/>
      <c r="Z102" s="476"/>
      <c r="AA102" s="476"/>
      <c r="AB102" s="476"/>
      <c r="AC102" s="68"/>
      <c r="AD102" s="55"/>
      <c r="AE102" s="475"/>
      <c r="AF102" s="475"/>
      <c r="AG102" s="453"/>
      <c r="AH102" s="454"/>
      <c r="AI102" s="454"/>
      <c r="AJ102" s="454"/>
      <c r="AK102" s="454"/>
      <c r="AL102" s="454"/>
      <c r="AM102" s="454"/>
      <c r="AN102" s="454"/>
      <c r="AO102" s="454"/>
      <c r="AP102" s="455"/>
    </row>
    <row r="103" spans="2:45" ht="15" customHeight="1" x14ac:dyDescent="0.4">
      <c r="C103" s="103"/>
      <c r="D103" s="104"/>
      <c r="E103" s="104"/>
      <c r="F103" s="104"/>
      <c r="G103" s="104"/>
      <c r="H103" s="104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104"/>
      <c r="U103" s="57"/>
      <c r="V103" s="104"/>
      <c r="W103" s="57"/>
      <c r="X103" s="104"/>
      <c r="Y103" s="57"/>
      <c r="Z103" s="104"/>
      <c r="AA103" s="57"/>
      <c r="AB103" s="104"/>
      <c r="AC103" s="104"/>
    </row>
    <row r="104" spans="2:45" ht="21" customHeight="1" x14ac:dyDescent="0.4">
      <c r="B104" s="56" t="s">
        <v>569</v>
      </c>
    </row>
    <row r="105" spans="2:45" ht="20.25" customHeight="1" x14ac:dyDescent="0.4">
      <c r="B105" s="219"/>
      <c r="C105" s="456" t="s">
        <v>25</v>
      </c>
      <c r="D105" s="456"/>
      <c r="E105" s="456"/>
      <c r="F105" s="458" t="s">
        <v>26</v>
      </c>
      <c r="G105" s="459"/>
      <c r="H105" s="459"/>
      <c r="I105" s="459"/>
      <c r="J105" s="456" t="s">
        <v>27</v>
      </c>
      <c r="K105" s="457"/>
      <c r="L105" s="457"/>
      <c r="M105" s="457"/>
      <c r="N105" s="457"/>
      <c r="O105" s="457"/>
      <c r="P105" s="457"/>
      <c r="Q105" s="456" t="s">
        <v>540</v>
      </c>
      <c r="R105" s="456"/>
      <c r="S105" s="456"/>
      <c r="T105" s="456"/>
      <c r="U105" s="456"/>
      <c r="V105" s="456"/>
      <c r="W105" s="456"/>
      <c r="X105" s="456" t="s">
        <v>27</v>
      </c>
      <c r="Y105" s="457"/>
      <c r="Z105" s="457"/>
      <c r="AA105" s="457"/>
      <c r="AB105" s="457"/>
      <c r="AC105" s="457"/>
      <c r="AD105" s="457"/>
      <c r="AE105" s="458" t="s">
        <v>26</v>
      </c>
      <c r="AF105" s="459"/>
      <c r="AG105" s="459"/>
      <c r="AH105" s="459"/>
      <c r="AI105" s="456" t="s">
        <v>29</v>
      </c>
      <c r="AJ105" s="456"/>
      <c r="AK105" s="457"/>
      <c r="AL105" s="457"/>
      <c r="AM105" s="457"/>
      <c r="AN105" s="457"/>
      <c r="AO105" s="457"/>
      <c r="AP105" s="457"/>
    </row>
    <row r="106" spans="2:45" ht="20.100000000000001" customHeight="1" x14ac:dyDescent="0.4">
      <c r="B106" s="472">
        <v>1</v>
      </c>
      <c r="C106" s="449">
        <v>0.375</v>
      </c>
      <c r="D106" s="449"/>
      <c r="E106" s="449"/>
      <c r="F106" s="443"/>
      <c r="G106" s="444"/>
      <c r="H106" s="444"/>
      <c r="I106" s="444"/>
      <c r="J106" s="445" t="str">
        <f>IFERROR(VLOOKUP(AR106,$C$98:$N$100,3,0),"")&amp;IFERROR(VLOOKUP(AR106,$Q$98:$AB$100,3,0),"")&amp;IFERROR(VLOOKUP(AR106,$AE$98:$AP$100,3,0),"")</f>
        <v>ＳＵＧＡＯ ＳＣ</v>
      </c>
      <c r="K106" s="529"/>
      <c r="L106" s="529"/>
      <c r="M106" s="529"/>
      <c r="N106" s="529"/>
      <c r="O106" s="529"/>
      <c r="P106" s="529"/>
      <c r="Q106" s="450" t="str">
        <f t="shared" ref="Q106:Q110" si="51">IF(OR(S106="",S107=""),"",S106+S107)</f>
        <v/>
      </c>
      <c r="R106" s="450"/>
      <c r="S106" s="224"/>
      <c r="T106" s="227" t="s">
        <v>30</v>
      </c>
      <c r="U106" s="224"/>
      <c r="V106" s="450" t="str">
        <f t="shared" ref="V106:V110" si="52">IF(OR(U106="",U107=""),"",U106+U107)</f>
        <v/>
      </c>
      <c r="W106" s="450"/>
      <c r="X106" s="447" t="str">
        <f>IFERROR(VLOOKUP(AS106,$C$98:$N$100,3,0),"")&amp;IFERROR(VLOOKUP(AS106,$Q$98:$AB$100,3,0),"")&amp;IFERROR(VLOOKUP(AS106,$AE$98:$AP$100,3,0),"")</f>
        <v>雀宮ＦＣセカンド</v>
      </c>
      <c r="Y106" s="530"/>
      <c r="Z106" s="530"/>
      <c r="AA106" s="530"/>
      <c r="AB106" s="530"/>
      <c r="AC106" s="530"/>
      <c r="AD106" s="530"/>
      <c r="AE106" s="443"/>
      <c r="AF106" s="444"/>
      <c r="AG106" s="444"/>
      <c r="AH106" s="444"/>
      <c r="AI106" s="450" t="str">
        <f ca="1">DBCS(INDIRECT("U12対戦スケジュール!g"&amp;(ROW()/2+24)))</f>
        <v>２／４／４／２</v>
      </c>
      <c r="AJ106" s="444"/>
      <c r="AK106" s="444"/>
      <c r="AL106" s="444"/>
      <c r="AM106" s="444"/>
      <c r="AN106" s="444"/>
      <c r="AO106" s="444"/>
      <c r="AP106" s="444"/>
      <c r="AR106" s="56">
        <v>1</v>
      </c>
      <c r="AS106" s="56">
        <v>6</v>
      </c>
    </row>
    <row r="107" spans="2:45" ht="20.100000000000001" customHeight="1" x14ac:dyDescent="0.4">
      <c r="B107" s="472"/>
      <c r="C107" s="449"/>
      <c r="D107" s="449"/>
      <c r="E107" s="449"/>
      <c r="F107" s="444"/>
      <c r="G107" s="444"/>
      <c r="H107" s="444"/>
      <c r="I107" s="444"/>
      <c r="J107" s="529"/>
      <c r="K107" s="529"/>
      <c r="L107" s="529"/>
      <c r="M107" s="529"/>
      <c r="N107" s="529"/>
      <c r="O107" s="529"/>
      <c r="P107" s="529"/>
      <c r="Q107" s="450"/>
      <c r="R107" s="450"/>
      <c r="S107" s="224"/>
      <c r="T107" s="227" t="s">
        <v>30</v>
      </c>
      <c r="U107" s="224"/>
      <c r="V107" s="450"/>
      <c r="W107" s="450"/>
      <c r="X107" s="530"/>
      <c r="Y107" s="530"/>
      <c r="Z107" s="530"/>
      <c r="AA107" s="530"/>
      <c r="AB107" s="530"/>
      <c r="AC107" s="530"/>
      <c r="AD107" s="530"/>
      <c r="AE107" s="444"/>
      <c r="AF107" s="444"/>
      <c r="AG107" s="444"/>
      <c r="AH107" s="444"/>
      <c r="AI107" s="444"/>
      <c r="AJ107" s="444"/>
      <c r="AK107" s="444"/>
      <c r="AL107" s="444"/>
      <c r="AM107" s="444"/>
      <c r="AN107" s="444"/>
      <c r="AO107" s="444"/>
      <c r="AP107" s="444"/>
    </row>
    <row r="108" spans="2:45" ht="20.100000000000001" customHeight="1" x14ac:dyDescent="0.4">
      <c r="B108" s="472">
        <v>2</v>
      </c>
      <c r="C108" s="449">
        <v>0.40277777777777773</v>
      </c>
      <c r="D108" s="449">
        <v>0.4375</v>
      </c>
      <c r="E108" s="449"/>
      <c r="F108" s="443"/>
      <c r="G108" s="444"/>
      <c r="H108" s="444"/>
      <c r="I108" s="444"/>
      <c r="J108" s="445" t="str">
        <f t="shared" ref="J108" si="53">IFERROR(VLOOKUP(AR108,$C$98:$N$100,3,0),"")&amp;IFERROR(VLOOKUP(AR108,$Q$98:$AB$100,3,0),"")&amp;IFERROR(VLOOKUP(AR108,$AE$98:$AP$100,3,0),"")</f>
        <v>ＦＣグラシアス</v>
      </c>
      <c r="K108" s="529"/>
      <c r="L108" s="529"/>
      <c r="M108" s="529"/>
      <c r="N108" s="529"/>
      <c r="O108" s="529"/>
      <c r="P108" s="529"/>
      <c r="Q108" s="450" t="str">
        <f t="shared" si="51"/>
        <v/>
      </c>
      <c r="R108" s="450"/>
      <c r="S108" s="224"/>
      <c r="T108" s="227" t="s">
        <v>30</v>
      </c>
      <c r="U108" s="224"/>
      <c r="V108" s="450" t="str">
        <f t="shared" si="52"/>
        <v/>
      </c>
      <c r="W108" s="450"/>
      <c r="X108" s="447" t="str">
        <f t="shared" ref="X108" si="54">IFERROR(VLOOKUP(AS108,$C$98:$N$100,3,0),"")&amp;IFERROR(VLOOKUP(AS108,$Q$98:$AB$100,3,0),"")&amp;IFERROR(VLOOKUP(AS108,$AE$98:$AP$100,3,0),"")</f>
        <v>シャルムグランツＳＣ</v>
      </c>
      <c r="Y108" s="530"/>
      <c r="Z108" s="530"/>
      <c r="AA108" s="530"/>
      <c r="AB108" s="530"/>
      <c r="AC108" s="530"/>
      <c r="AD108" s="530"/>
      <c r="AE108" s="443"/>
      <c r="AF108" s="444"/>
      <c r="AG108" s="444"/>
      <c r="AH108" s="444"/>
      <c r="AI108" s="450" t="str">
        <f t="shared" ref="AI108" ca="1" si="55">DBCS(INDIRECT("U12対戦スケジュール!g"&amp;(ROW()/2+24)))</f>
        <v>１／６／６／１</v>
      </c>
      <c r="AJ108" s="444"/>
      <c r="AK108" s="444"/>
      <c r="AL108" s="444"/>
      <c r="AM108" s="444"/>
      <c r="AN108" s="444"/>
      <c r="AO108" s="444"/>
      <c r="AP108" s="444"/>
      <c r="AR108" s="56">
        <v>2</v>
      </c>
      <c r="AS108" s="56">
        <v>4</v>
      </c>
    </row>
    <row r="109" spans="2:45" ht="20.100000000000001" customHeight="1" x14ac:dyDescent="0.4">
      <c r="B109" s="472"/>
      <c r="C109" s="449"/>
      <c r="D109" s="449"/>
      <c r="E109" s="449"/>
      <c r="F109" s="444"/>
      <c r="G109" s="444"/>
      <c r="H109" s="444"/>
      <c r="I109" s="444"/>
      <c r="J109" s="529"/>
      <c r="K109" s="529"/>
      <c r="L109" s="529"/>
      <c r="M109" s="529"/>
      <c r="N109" s="529"/>
      <c r="O109" s="529"/>
      <c r="P109" s="529"/>
      <c r="Q109" s="450"/>
      <c r="R109" s="450"/>
      <c r="S109" s="224"/>
      <c r="T109" s="227" t="s">
        <v>30</v>
      </c>
      <c r="U109" s="224"/>
      <c r="V109" s="450"/>
      <c r="W109" s="450"/>
      <c r="X109" s="530"/>
      <c r="Y109" s="530"/>
      <c r="Z109" s="530"/>
      <c r="AA109" s="530"/>
      <c r="AB109" s="530"/>
      <c r="AC109" s="530"/>
      <c r="AD109" s="530"/>
      <c r="AE109" s="444"/>
      <c r="AF109" s="444"/>
      <c r="AG109" s="444"/>
      <c r="AH109" s="444"/>
      <c r="AI109" s="444"/>
      <c r="AJ109" s="444"/>
      <c r="AK109" s="444"/>
      <c r="AL109" s="444"/>
      <c r="AM109" s="444"/>
      <c r="AN109" s="444"/>
      <c r="AO109" s="444"/>
      <c r="AP109" s="444"/>
    </row>
    <row r="110" spans="2:45" ht="20.100000000000001" customHeight="1" x14ac:dyDescent="0.4">
      <c r="B110" s="472">
        <v>3</v>
      </c>
      <c r="C110" s="449">
        <v>0.43055555555555558</v>
      </c>
      <c r="D110" s="449"/>
      <c r="E110" s="449"/>
      <c r="F110" s="443"/>
      <c r="G110" s="444"/>
      <c r="H110" s="444"/>
      <c r="I110" s="444"/>
      <c r="J110" s="445" t="str">
        <f t="shared" ref="J110" si="56">IFERROR(VLOOKUP(AR110,$C$98:$N$100,3,0),"")&amp;IFERROR(VLOOKUP(AR110,$Q$98:$AB$100,3,0),"")&amp;IFERROR(VLOOKUP(AR110,$AE$98:$AP$100,3,0),"")</f>
        <v>FCブロケード・陽東U11</v>
      </c>
      <c r="K110" s="529"/>
      <c r="L110" s="529"/>
      <c r="M110" s="529"/>
      <c r="N110" s="529"/>
      <c r="O110" s="529"/>
      <c r="P110" s="529"/>
      <c r="Q110" s="450" t="str">
        <f t="shared" si="51"/>
        <v/>
      </c>
      <c r="R110" s="450"/>
      <c r="S110" s="224"/>
      <c r="T110" s="227" t="s">
        <v>30</v>
      </c>
      <c r="U110" s="224"/>
      <c r="V110" s="450" t="str">
        <f t="shared" si="52"/>
        <v/>
      </c>
      <c r="W110" s="450"/>
      <c r="X110" s="447" t="str">
        <f t="shared" ref="X110" si="57">IFERROR(VLOOKUP(AS110,$C$98:$N$100,3,0),"")&amp;IFERROR(VLOOKUP(AS110,$Q$98:$AB$100,3,0),"")&amp;IFERROR(VLOOKUP(AS110,$AE$98:$AP$100,3,0),"")</f>
        <v>ＳＵＧＡＯ ＳＣ</v>
      </c>
      <c r="Y110" s="530"/>
      <c r="Z110" s="530"/>
      <c r="AA110" s="530"/>
      <c r="AB110" s="530"/>
      <c r="AC110" s="530"/>
      <c r="AD110" s="530"/>
      <c r="AE110" s="443"/>
      <c r="AF110" s="444"/>
      <c r="AG110" s="444"/>
      <c r="AH110" s="444"/>
      <c r="AI110" s="450" t="str">
        <f t="shared" ref="AI110" ca="1" si="58">DBCS(INDIRECT("U12対戦スケジュール!g"&amp;(ROW()/2+24)))</f>
        <v>９／２／２／９</v>
      </c>
      <c r="AJ110" s="444"/>
      <c r="AK110" s="444"/>
      <c r="AL110" s="444"/>
      <c r="AM110" s="444"/>
      <c r="AN110" s="444"/>
      <c r="AO110" s="444"/>
      <c r="AP110" s="444"/>
      <c r="AR110" s="56">
        <v>8</v>
      </c>
      <c r="AS110" s="56">
        <v>1</v>
      </c>
    </row>
    <row r="111" spans="2:45" ht="20.100000000000001" customHeight="1" x14ac:dyDescent="0.4">
      <c r="B111" s="472"/>
      <c r="C111" s="449"/>
      <c r="D111" s="449"/>
      <c r="E111" s="449"/>
      <c r="F111" s="444"/>
      <c r="G111" s="444"/>
      <c r="H111" s="444"/>
      <c r="I111" s="444"/>
      <c r="J111" s="529"/>
      <c r="K111" s="529"/>
      <c r="L111" s="529"/>
      <c r="M111" s="529"/>
      <c r="N111" s="529"/>
      <c r="O111" s="529"/>
      <c r="P111" s="529"/>
      <c r="Q111" s="450"/>
      <c r="R111" s="450"/>
      <c r="S111" s="224"/>
      <c r="T111" s="227" t="s">
        <v>30</v>
      </c>
      <c r="U111" s="224"/>
      <c r="V111" s="450"/>
      <c r="W111" s="450"/>
      <c r="X111" s="530"/>
      <c r="Y111" s="530"/>
      <c r="Z111" s="530"/>
      <c r="AA111" s="530"/>
      <c r="AB111" s="530"/>
      <c r="AC111" s="530"/>
      <c r="AD111" s="530"/>
      <c r="AE111" s="444"/>
      <c r="AF111" s="444"/>
      <c r="AG111" s="444"/>
      <c r="AH111" s="444"/>
      <c r="AI111" s="444"/>
      <c r="AJ111" s="444"/>
      <c r="AK111" s="444"/>
      <c r="AL111" s="444"/>
      <c r="AM111" s="444"/>
      <c r="AN111" s="444"/>
      <c r="AO111" s="444"/>
      <c r="AP111" s="444"/>
    </row>
    <row r="112" spans="2:45" ht="20.100000000000001" customHeight="1" x14ac:dyDescent="0.4">
      <c r="B112" s="472">
        <v>4</v>
      </c>
      <c r="C112" s="449">
        <v>0.45833333333333331</v>
      </c>
      <c r="D112" s="449">
        <v>0.4375</v>
      </c>
      <c r="E112" s="449"/>
      <c r="F112" s="443"/>
      <c r="G112" s="444"/>
      <c r="H112" s="444"/>
      <c r="I112" s="444"/>
      <c r="J112" s="445" t="str">
        <f t="shared" ref="J112" si="59">IFERROR(VLOOKUP(AR112,$C$98:$N$100,3,0),"")&amp;IFERROR(VLOOKUP(AR112,$Q$98:$AB$100,3,0),"")&amp;IFERROR(VLOOKUP(AR112,$AE$98:$AP$100,3,0),"")</f>
        <v>上三川ＳＣ</v>
      </c>
      <c r="K112" s="529"/>
      <c r="L112" s="529"/>
      <c r="M112" s="529"/>
      <c r="N112" s="529"/>
      <c r="O112" s="529"/>
      <c r="P112" s="529"/>
      <c r="Q112" s="450" t="str">
        <f t="shared" ref="Q112:Q116" si="60">IF(OR(S112="",S113=""),"",S112+S113)</f>
        <v/>
      </c>
      <c r="R112" s="450"/>
      <c r="S112" s="224"/>
      <c r="T112" s="227" t="s">
        <v>30</v>
      </c>
      <c r="U112" s="224"/>
      <c r="V112" s="450" t="str">
        <f t="shared" ref="V112:V116" si="61">IF(OR(U112="",U113=""),"",U112+U113)</f>
        <v/>
      </c>
      <c r="W112" s="450"/>
      <c r="X112" s="447" t="str">
        <f t="shared" ref="X112" si="62">IFERROR(VLOOKUP(AS112,$C$98:$N$100,3,0),"")&amp;IFERROR(VLOOKUP(AS112,$Q$98:$AB$100,3,0),"")&amp;IFERROR(VLOOKUP(AS112,$AE$98:$AP$100,3,0),"")</f>
        <v>ＦＣグラシアス</v>
      </c>
      <c r="Y112" s="530"/>
      <c r="Z112" s="530"/>
      <c r="AA112" s="530"/>
      <c r="AB112" s="530"/>
      <c r="AC112" s="530"/>
      <c r="AD112" s="530"/>
      <c r="AE112" s="443"/>
      <c r="AF112" s="444"/>
      <c r="AG112" s="444"/>
      <c r="AH112" s="444"/>
      <c r="AI112" s="450" t="str">
        <f t="shared" ref="AI112" ca="1" si="63">DBCS(INDIRECT("U12対戦スケジュール!g"&amp;(ROW()/2+24)))</f>
        <v>８／１／１／８</v>
      </c>
      <c r="AJ112" s="444"/>
      <c r="AK112" s="444"/>
      <c r="AL112" s="444"/>
      <c r="AM112" s="444"/>
      <c r="AN112" s="444"/>
      <c r="AO112" s="444"/>
      <c r="AP112" s="444"/>
      <c r="AR112" s="56">
        <v>9</v>
      </c>
      <c r="AS112" s="56">
        <v>2</v>
      </c>
    </row>
    <row r="113" spans="1:45" ht="20.100000000000001" customHeight="1" x14ac:dyDescent="0.4">
      <c r="B113" s="472"/>
      <c r="C113" s="449"/>
      <c r="D113" s="449"/>
      <c r="E113" s="449"/>
      <c r="F113" s="444"/>
      <c r="G113" s="444"/>
      <c r="H113" s="444"/>
      <c r="I113" s="444"/>
      <c r="J113" s="529"/>
      <c r="K113" s="529"/>
      <c r="L113" s="529"/>
      <c r="M113" s="529"/>
      <c r="N113" s="529"/>
      <c r="O113" s="529"/>
      <c r="P113" s="529"/>
      <c r="Q113" s="450"/>
      <c r="R113" s="450"/>
      <c r="S113" s="224"/>
      <c r="T113" s="227" t="s">
        <v>30</v>
      </c>
      <c r="U113" s="224"/>
      <c r="V113" s="450"/>
      <c r="W113" s="450"/>
      <c r="X113" s="530"/>
      <c r="Y113" s="530"/>
      <c r="Z113" s="530"/>
      <c r="AA113" s="530"/>
      <c r="AB113" s="530"/>
      <c r="AC113" s="530"/>
      <c r="AD113" s="530"/>
      <c r="AE113" s="444"/>
      <c r="AF113" s="444"/>
      <c r="AG113" s="444"/>
      <c r="AH113" s="444"/>
      <c r="AI113" s="444"/>
      <c r="AJ113" s="444"/>
      <c r="AK113" s="444"/>
      <c r="AL113" s="444"/>
      <c r="AM113" s="444"/>
      <c r="AN113" s="444"/>
      <c r="AO113" s="444"/>
      <c r="AP113" s="444"/>
    </row>
    <row r="114" spans="1:45" ht="20.100000000000001" customHeight="1" x14ac:dyDescent="0.4">
      <c r="B114" s="472">
        <v>5</v>
      </c>
      <c r="C114" s="449">
        <v>0.4861111111111111</v>
      </c>
      <c r="D114" s="449"/>
      <c r="E114" s="449"/>
      <c r="F114" s="443"/>
      <c r="G114" s="444"/>
      <c r="H114" s="444"/>
      <c r="I114" s="444"/>
      <c r="J114" s="445" t="str">
        <f t="shared" ref="J114" si="64">IFERROR(VLOOKUP(AR114,$C$98:$N$100,3,0),"")&amp;IFERROR(VLOOKUP(AR114,$Q$98:$AB$100,3,0),"")&amp;IFERROR(VLOOKUP(AR114,$AE$98:$AP$100,3,0),"")</f>
        <v>雀宮ＦＣセカンド</v>
      </c>
      <c r="K114" s="529"/>
      <c r="L114" s="529"/>
      <c r="M114" s="529"/>
      <c r="N114" s="529"/>
      <c r="O114" s="529"/>
      <c r="P114" s="529"/>
      <c r="Q114" s="450" t="str">
        <f t="shared" si="60"/>
        <v/>
      </c>
      <c r="R114" s="450"/>
      <c r="S114" s="224"/>
      <c r="T114" s="227" t="s">
        <v>30</v>
      </c>
      <c r="U114" s="224"/>
      <c r="V114" s="450" t="str">
        <f t="shared" si="61"/>
        <v/>
      </c>
      <c r="W114" s="450"/>
      <c r="X114" s="447" t="str">
        <f t="shared" ref="X114" si="65">IFERROR(VLOOKUP(AS114,$C$98:$N$100,3,0),"")&amp;IFERROR(VLOOKUP(AS114,$Q$98:$AB$100,3,0),"")&amp;IFERROR(VLOOKUP(AS114,$AE$98:$AP$100,3,0),"")</f>
        <v>FCブロケード・陽東U11</v>
      </c>
      <c r="Y114" s="530"/>
      <c r="Z114" s="530"/>
      <c r="AA114" s="530"/>
      <c r="AB114" s="530"/>
      <c r="AC114" s="530"/>
      <c r="AD114" s="530"/>
      <c r="AE114" s="443"/>
      <c r="AF114" s="444"/>
      <c r="AG114" s="444"/>
      <c r="AH114" s="444"/>
      <c r="AI114" s="450" t="str">
        <f t="shared" ref="AI114" ca="1" si="66">DBCS(INDIRECT("U12対戦スケジュール!g"&amp;(ROW()/2+24)))</f>
        <v>４／９／９／４</v>
      </c>
      <c r="AJ114" s="444"/>
      <c r="AK114" s="444"/>
      <c r="AL114" s="444"/>
      <c r="AM114" s="444"/>
      <c r="AN114" s="444"/>
      <c r="AO114" s="444"/>
      <c r="AP114" s="444"/>
      <c r="AR114" s="56">
        <v>6</v>
      </c>
      <c r="AS114" s="56">
        <v>8</v>
      </c>
    </row>
    <row r="115" spans="1:45" ht="20.100000000000001" customHeight="1" x14ac:dyDescent="0.4">
      <c r="B115" s="472"/>
      <c r="C115" s="449"/>
      <c r="D115" s="449"/>
      <c r="E115" s="449"/>
      <c r="F115" s="444"/>
      <c r="G115" s="444"/>
      <c r="H115" s="444"/>
      <c r="I115" s="444"/>
      <c r="J115" s="529"/>
      <c r="K115" s="529"/>
      <c r="L115" s="529"/>
      <c r="M115" s="529"/>
      <c r="N115" s="529"/>
      <c r="O115" s="529"/>
      <c r="P115" s="529"/>
      <c r="Q115" s="450"/>
      <c r="R115" s="450"/>
      <c r="S115" s="224"/>
      <c r="T115" s="227" t="s">
        <v>30</v>
      </c>
      <c r="U115" s="224"/>
      <c r="V115" s="450"/>
      <c r="W115" s="450"/>
      <c r="X115" s="530"/>
      <c r="Y115" s="530"/>
      <c r="Z115" s="530"/>
      <c r="AA115" s="530"/>
      <c r="AB115" s="530"/>
      <c r="AC115" s="530"/>
      <c r="AD115" s="530"/>
      <c r="AE115" s="444"/>
      <c r="AF115" s="444"/>
      <c r="AG115" s="444"/>
      <c r="AH115" s="444"/>
      <c r="AI115" s="444"/>
      <c r="AJ115" s="444"/>
      <c r="AK115" s="444"/>
      <c r="AL115" s="444"/>
      <c r="AM115" s="444"/>
      <c r="AN115" s="444"/>
      <c r="AO115" s="444"/>
      <c r="AP115" s="444"/>
    </row>
    <row r="116" spans="1:45" ht="20.100000000000001" customHeight="1" x14ac:dyDescent="0.4">
      <c r="B116" s="472">
        <v>6</v>
      </c>
      <c r="C116" s="449">
        <v>0.51388888888888895</v>
      </c>
      <c r="D116" s="449">
        <v>0.4375</v>
      </c>
      <c r="E116" s="449"/>
      <c r="F116" s="443"/>
      <c r="G116" s="444"/>
      <c r="H116" s="444"/>
      <c r="I116" s="444"/>
      <c r="J116" s="445" t="str">
        <f t="shared" ref="J116" si="67">IFERROR(VLOOKUP(AR116,$C$98:$N$100,3,0),"")&amp;IFERROR(VLOOKUP(AR116,$Q$98:$AB$100,3,0),"")&amp;IFERROR(VLOOKUP(AR116,$AE$98:$AP$100,3,0),"")</f>
        <v>シャルムグランツＳＣ</v>
      </c>
      <c r="K116" s="529"/>
      <c r="L116" s="529"/>
      <c r="M116" s="529"/>
      <c r="N116" s="529"/>
      <c r="O116" s="529"/>
      <c r="P116" s="529"/>
      <c r="Q116" s="450" t="str">
        <f t="shared" si="60"/>
        <v/>
      </c>
      <c r="R116" s="450"/>
      <c r="S116" s="224"/>
      <c r="T116" s="227" t="s">
        <v>30</v>
      </c>
      <c r="U116" s="224"/>
      <c r="V116" s="450" t="str">
        <f t="shared" si="61"/>
        <v/>
      </c>
      <c r="W116" s="450"/>
      <c r="X116" s="447" t="str">
        <f t="shared" ref="X116" si="68">IFERROR(VLOOKUP(AS116,$C$98:$N$100,3,0),"")&amp;IFERROR(VLOOKUP(AS116,$Q$98:$AB$100,3,0),"")&amp;IFERROR(VLOOKUP(AS116,$AE$98:$AP$100,3,0),"")</f>
        <v>上三川ＳＣ</v>
      </c>
      <c r="Y116" s="530"/>
      <c r="Z116" s="530"/>
      <c r="AA116" s="530"/>
      <c r="AB116" s="530"/>
      <c r="AC116" s="530"/>
      <c r="AD116" s="530"/>
      <c r="AE116" s="443"/>
      <c r="AF116" s="444"/>
      <c r="AG116" s="444"/>
      <c r="AH116" s="444"/>
      <c r="AI116" s="450" t="str">
        <f t="shared" ref="AI116" ca="1" si="69">DBCS(INDIRECT("U12対戦スケジュール!g"&amp;(ROW()/2+24)))</f>
        <v>６／８／８／６</v>
      </c>
      <c r="AJ116" s="444"/>
      <c r="AK116" s="444"/>
      <c r="AL116" s="444"/>
      <c r="AM116" s="444"/>
      <c r="AN116" s="444"/>
      <c r="AO116" s="444"/>
      <c r="AP116" s="444"/>
      <c r="AR116" s="56">
        <v>4</v>
      </c>
      <c r="AS116" s="56">
        <v>9</v>
      </c>
    </row>
    <row r="117" spans="1:45" ht="20.100000000000001" customHeight="1" x14ac:dyDescent="0.4">
      <c r="B117" s="472"/>
      <c r="C117" s="449"/>
      <c r="D117" s="449"/>
      <c r="E117" s="449"/>
      <c r="F117" s="444"/>
      <c r="G117" s="444"/>
      <c r="H117" s="444"/>
      <c r="I117" s="444"/>
      <c r="J117" s="529"/>
      <c r="K117" s="529"/>
      <c r="L117" s="529"/>
      <c r="M117" s="529"/>
      <c r="N117" s="529"/>
      <c r="O117" s="529"/>
      <c r="P117" s="529"/>
      <c r="Q117" s="450"/>
      <c r="R117" s="450"/>
      <c r="S117" s="224"/>
      <c r="T117" s="227" t="s">
        <v>30</v>
      </c>
      <c r="U117" s="224"/>
      <c r="V117" s="450"/>
      <c r="W117" s="450"/>
      <c r="X117" s="530"/>
      <c r="Y117" s="530"/>
      <c r="Z117" s="530"/>
      <c r="AA117" s="530"/>
      <c r="AB117" s="530"/>
      <c r="AC117" s="530"/>
      <c r="AD117" s="530"/>
      <c r="AE117" s="444"/>
      <c r="AF117" s="444"/>
      <c r="AG117" s="444"/>
      <c r="AH117" s="444"/>
      <c r="AI117" s="444"/>
      <c r="AJ117" s="444"/>
      <c r="AK117" s="444"/>
      <c r="AL117" s="444"/>
      <c r="AM117" s="444"/>
      <c r="AN117" s="444"/>
      <c r="AO117" s="444"/>
      <c r="AP117" s="444"/>
    </row>
    <row r="118" spans="1:45" ht="20.100000000000001" hidden="1" customHeight="1" x14ac:dyDescent="0.4">
      <c r="B118" s="472">
        <v>7</v>
      </c>
      <c r="C118" s="449">
        <v>0.54166666666666663</v>
      </c>
      <c r="D118" s="449">
        <v>0.4375</v>
      </c>
      <c r="E118" s="449"/>
      <c r="F118" s="443"/>
      <c r="G118" s="444"/>
      <c r="H118" s="444"/>
      <c r="I118" s="444"/>
      <c r="J118" s="445" t="str">
        <f t="shared" ref="J118" si="70">IFERROR(VLOOKUP(AR118,$C$98:$N$102,3,0),"")&amp;IFERROR(VLOOKUP(AR118,$Q$98:$AB$102,3,0),"")</f>
        <v/>
      </c>
      <c r="K118" s="446"/>
      <c r="L118" s="446"/>
      <c r="M118" s="446"/>
      <c r="N118" s="446"/>
      <c r="O118" s="446"/>
      <c r="P118" s="446"/>
      <c r="Q118" s="450" t="str">
        <f>IF(OR(S118="",S119=""),"",S118+S119)</f>
        <v/>
      </c>
      <c r="R118" s="450"/>
      <c r="S118" s="224"/>
      <c r="T118" s="227" t="s">
        <v>30</v>
      </c>
      <c r="U118" s="224"/>
      <c r="V118" s="450" t="str">
        <f>IF(OR(U118="",U119=""),"",U118+U119)</f>
        <v/>
      </c>
      <c r="W118" s="450"/>
      <c r="X118" s="447" t="str">
        <f t="shared" ref="X118" si="71">IFERROR(VLOOKUP(AS118,$C$98:$N$102,3,0),"")&amp;IFERROR(VLOOKUP(AS118,$Q$98:$AB$102,3,0),"")</f>
        <v/>
      </c>
      <c r="Y118" s="448"/>
      <c r="Z118" s="448"/>
      <c r="AA118" s="448"/>
      <c r="AB118" s="448"/>
      <c r="AC118" s="448"/>
      <c r="AD118" s="448"/>
      <c r="AE118" s="443"/>
      <c r="AF118" s="444"/>
      <c r="AG118" s="444"/>
      <c r="AH118" s="444"/>
      <c r="AI118" s="450"/>
      <c r="AJ118" s="444"/>
      <c r="AK118" s="444"/>
      <c r="AL118" s="444"/>
      <c r="AM118" s="444"/>
      <c r="AN118" s="444"/>
      <c r="AO118" s="444"/>
      <c r="AP118" s="444"/>
    </row>
    <row r="119" spans="1:45" ht="20.100000000000001" hidden="1" customHeight="1" x14ac:dyDescent="0.4">
      <c r="B119" s="472"/>
      <c r="C119" s="449"/>
      <c r="D119" s="449"/>
      <c r="E119" s="449"/>
      <c r="F119" s="444"/>
      <c r="G119" s="444"/>
      <c r="H119" s="444"/>
      <c r="I119" s="444"/>
      <c r="J119" s="446"/>
      <c r="K119" s="446"/>
      <c r="L119" s="446"/>
      <c r="M119" s="446"/>
      <c r="N119" s="446"/>
      <c r="O119" s="446"/>
      <c r="P119" s="446"/>
      <c r="Q119" s="450"/>
      <c r="R119" s="450"/>
      <c r="S119" s="224"/>
      <c r="T119" s="227" t="s">
        <v>30</v>
      </c>
      <c r="U119" s="224"/>
      <c r="V119" s="450"/>
      <c r="W119" s="450"/>
      <c r="X119" s="448"/>
      <c r="Y119" s="448"/>
      <c r="Z119" s="448"/>
      <c r="AA119" s="448"/>
      <c r="AB119" s="448"/>
      <c r="AC119" s="448"/>
      <c r="AD119" s="448"/>
      <c r="AE119" s="444"/>
      <c r="AF119" s="444"/>
      <c r="AG119" s="444"/>
      <c r="AH119" s="444"/>
      <c r="AI119" s="444"/>
      <c r="AJ119" s="444"/>
      <c r="AK119" s="444"/>
      <c r="AL119" s="444"/>
      <c r="AM119" s="444"/>
      <c r="AN119" s="444"/>
      <c r="AO119" s="444"/>
      <c r="AP119" s="444"/>
    </row>
    <row r="120" spans="1:45" s="55" customFormat="1" ht="15.75" customHeight="1" x14ac:dyDescent="0.4">
      <c r="A120" s="58"/>
      <c r="B120" s="59"/>
      <c r="C120" s="60"/>
      <c r="D120" s="60"/>
      <c r="E120" s="60"/>
      <c r="F120" s="59"/>
      <c r="G120" s="59"/>
      <c r="H120" s="59"/>
      <c r="I120" s="59"/>
      <c r="J120" s="59"/>
      <c r="K120" s="61"/>
      <c r="L120" s="61"/>
      <c r="M120" s="62"/>
      <c r="N120" s="63"/>
      <c r="O120" s="62"/>
      <c r="P120" s="61"/>
      <c r="Q120" s="61"/>
      <c r="R120" s="59"/>
      <c r="S120" s="59"/>
      <c r="T120" s="59"/>
      <c r="U120" s="59"/>
      <c r="V120" s="59"/>
      <c r="W120" s="66"/>
      <c r="X120" s="66"/>
      <c r="Y120" s="66"/>
      <c r="Z120" s="66"/>
      <c r="AA120" s="66"/>
      <c r="AB120" s="66"/>
      <c r="AC120" s="58"/>
    </row>
    <row r="121" spans="1:45" ht="20.25" customHeight="1" x14ac:dyDescent="0.4">
      <c r="D121" s="477" t="s">
        <v>31</v>
      </c>
      <c r="E121" s="477"/>
      <c r="F121" s="477"/>
      <c r="G121" s="477"/>
      <c r="H121" s="477"/>
      <c r="I121" s="477"/>
      <c r="J121" s="477" t="s">
        <v>27</v>
      </c>
      <c r="K121" s="477"/>
      <c r="L121" s="477"/>
      <c r="M121" s="477"/>
      <c r="N121" s="477"/>
      <c r="O121" s="477"/>
      <c r="P121" s="477"/>
      <c r="Q121" s="477"/>
      <c r="R121" s="478" t="s">
        <v>32</v>
      </c>
      <c r="S121" s="478"/>
      <c r="T121" s="478"/>
      <c r="U121" s="478"/>
      <c r="V121" s="478"/>
      <c r="W121" s="478"/>
      <c r="X121" s="478"/>
      <c r="Y121" s="478"/>
      <c r="Z121" s="478"/>
      <c r="AA121" s="479" t="s">
        <v>33</v>
      </c>
      <c r="AB121" s="479"/>
      <c r="AC121" s="479"/>
      <c r="AD121" s="479" t="s">
        <v>34</v>
      </c>
      <c r="AE121" s="479"/>
      <c r="AF121" s="479"/>
      <c r="AG121" s="479"/>
      <c r="AH121" s="479"/>
      <c r="AI121" s="479"/>
      <c r="AJ121" s="479"/>
      <c r="AK121" s="479"/>
      <c r="AL121" s="479"/>
      <c r="AM121" s="479"/>
    </row>
    <row r="122" spans="1:45" ht="30" customHeight="1" x14ac:dyDescent="0.4">
      <c r="D122" s="477" t="s">
        <v>35</v>
      </c>
      <c r="E122" s="477"/>
      <c r="F122" s="477"/>
      <c r="G122" s="477"/>
      <c r="H122" s="477"/>
      <c r="I122" s="477"/>
      <c r="J122" s="477"/>
      <c r="K122" s="477"/>
      <c r="L122" s="477"/>
      <c r="M122" s="477"/>
      <c r="N122" s="477"/>
      <c r="O122" s="477"/>
      <c r="P122" s="477"/>
      <c r="Q122" s="477"/>
      <c r="R122" s="478"/>
      <c r="S122" s="478"/>
      <c r="T122" s="478"/>
      <c r="U122" s="478"/>
      <c r="V122" s="478"/>
      <c r="W122" s="478"/>
      <c r="X122" s="478"/>
      <c r="Y122" s="478"/>
      <c r="Z122" s="478"/>
      <c r="AA122" s="481"/>
      <c r="AB122" s="481"/>
      <c r="AC122" s="481"/>
      <c r="AD122" s="480"/>
      <c r="AE122" s="480"/>
      <c r="AF122" s="480"/>
      <c r="AG122" s="480"/>
      <c r="AH122" s="480"/>
      <c r="AI122" s="480"/>
      <c r="AJ122" s="480"/>
      <c r="AK122" s="480"/>
      <c r="AL122" s="480"/>
      <c r="AM122" s="480"/>
    </row>
    <row r="123" spans="1:45" ht="30" customHeight="1" x14ac:dyDescent="0.4">
      <c r="D123" s="477" t="s">
        <v>35</v>
      </c>
      <c r="E123" s="477"/>
      <c r="F123" s="477"/>
      <c r="G123" s="477"/>
      <c r="H123" s="477"/>
      <c r="I123" s="477"/>
      <c r="J123" s="477"/>
      <c r="K123" s="477"/>
      <c r="L123" s="477"/>
      <c r="M123" s="477"/>
      <c r="N123" s="477"/>
      <c r="O123" s="477"/>
      <c r="P123" s="477"/>
      <c r="Q123" s="477"/>
      <c r="R123" s="478"/>
      <c r="S123" s="478"/>
      <c r="T123" s="478"/>
      <c r="U123" s="478"/>
      <c r="V123" s="478"/>
      <c r="W123" s="478"/>
      <c r="X123" s="478"/>
      <c r="Y123" s="478"/>
      <c r="Z123" s="478"/>
      <c r="AA123" s="479"/>
      <c r="AB123" s="479"/>
      <c r="AC123" s="479"/>
      <c r="AD123" s="480"/>
      <c r="AE123" s="480"/>
      <c r="AF123" s="480"/>
      <c r="AG123" s="480"/>
      <c r="AH123" s="480"/>
      <c r="AI123" s="480"/>
      <c r="AJ123" s="480"/>
      <c r="AK123" s="480"/>
      <c r="AL123" s="480"/>
      <c r="AM123" s="480"/>
    </row>
    <row r="124" spans="1:45" ht="30" customHeight="1" x14ac:dyDescent="0.4">
      <c r="D124" s="477" t="s">
        <v>35</v>
      </c>
      <c r="E124" s="477"/>
      <c r="F124" s="477"/>
      <c r="G124" s="477"/>
      <c r="H124" s="477"/>
      <c r="I124" s="477"/>
      <c r="J124" s="477"/>
      <c r="K124" s="477"/>
      <c r="L124" s="477"/>
      <c r="M124" s="477"/>
      <c r="N124" s="477"/>
      <c r="O124" s="477"/>
      <c r="P124" s="477"/>
      <c r="Q124" s="477"/>
      <c r="R124" s="478"/>
      <c r="S124" s="478"/>
      <c r="T124" s="478"/>
      <c r="U124" s="478"/>
      <c r="V124" s="478"/>
      <c r="W124" s="478"/>
      <c r="X124" s="478"/>
      <c r="Y124" s="478"/>
      <c r="Z124" s="478"/>
      <c r="AA124" s="479"/>
      <c r="AB124" s="479"/>
      <c r="AC124" s="479"/>
      <c r="AD124" s="480"/>
      <c r="AE124" s="480"/>
      <c r="AF124" s="480"/>
      <c r="AG124" s="480"/>
      <c r="AH124" s="480"/>
      <c r="AI124" s="480"/>
      <c r="AJ124" s="480"/>
      <c r="AK124" s="480"/>
      <c r="AL124" s="480"/>
      <c r="AM124" s="480"/>
    </row>
  </sheetData>
  <mergeCells count="512">
    <mergeCell ref="C3:F3"/>
    <mergeCell ref="G3:O3"/>
    <mergeCell ref="P3:S3"/>
    <mergeCell ref="T3:AB3"/>
    <mergeCell ref="AC3:AF3"/>
    <mergeCell ref="AG3:AL3"/>
    <mergeCell ref="AM3:AO3"/>
    <mergeCell ref="C5:D5"/>
    <mergeCell ref="E5:N5"/>
    <mergeCell ref="Q5:R5"/>
    <mergeCell ref="S5:AB5"/>
    <mergeCell ref="AE5:AF5"/>
    <mergeCell ref="AG5:AP5"/>
    <mergeCell ref="C6:D6"/>
    <mergeCell ref="E6:N6"/>
    <mergeCell ref="Q6:R6"/>
    <mergeCell ref="S6:AB6"/>
    <mergeCell ref="AE6:AF6"/>
    <mergeCell ref="AG6:AP6"/>
    <mergeCell ref="C7:D7"/>
    <mergeCell ref="E7:N7"/>
    <mergeCell ref="Q7:R7"/>
    <mergeCell ref="S7:AB7"/>
    <mergeCell ref="AE7:AF7"/>
    <mergeCell ref="AG7:AP7"/>
    <mergeCell ref="C8:D8"/>
    <mergeCell ref="E8:N8"/>
    <mergeCell ref="Q8:R8"/>
    <mergeCell ref="S8:AB8"/>
    <mergeCell ref="AE8:AF8"/>
    <mergeCell ref="AG8:AP8"/>
    <mergeCell ref="C9:D9"/>
    <mergeCell ref="E9:N9"/>
    <mergeCell ref="Q9:R9"/>
    <mergeCell ref="S9:AB9"/>
    <mergeCell ref="AE9:AF9"/>
    <mergeCell ref="AG9:AP9"/>
    <mergeCell ref="C12:E12"/>
    <mergeCell ref="F12:I12"/>
    <mergeCell ref="J12:P12"/>
    <mergeCell ref="Q12:W12"/>
    <mergeCell ref="X12:AD12"/>
    <mergeCell ref="AE12:AH12"/>
    <mergeCell ref="AI12:AP12"/>
    <mergeCell ref="D28:I28"/>
    <mergeCell ref="J28:Q28"/>
    <mergeCell ref="R28:Z28"/>
    <mergeCell ref="AA28:AC28"/>
    <mergeCell ref="AD28:AM28"/>
    <mergeCell ref="AE23:AH24"/>
    <mergeCell ref="J21:P22"/>
    <mergeCell ref="X21:AD22"/>
    <mergeCell ref="C23:E24"/>
    <mergeCell ref="F23:I24"/>
    <mergeCell ref="C21:E22"/>
    <mergeCell ref="D29:I29"/>
    <mergeCell ref="J29:Q29"/>
    <mergeCell ref="R29:Z29"/>
    <mergeCell ref="AA29:AC29"/>
    <mergeCell ref="AD29:AM29"/>
    <mergeCell ref="D30:I30"/>
    <mergeCell ref="J30:Q30"/>
    <mergeCell ref="R30:Z30"/>
    <mergeCell ref="AA30:AC30"/>
    <mergeCell ref="AD30:AM30"/>
    <mergeCell ref="D31:I31"/>
    <mergeCell ref="J31:Q31"/>
    <mergeCell ref="R31:Z31"/>
    <mergeCell ref="AA31:AC31"/>
    <mergeCell ref="AD31:AM31"/>
    <mergeCell ref="C34:F34"/>
    <mergeCell ref="G34:O34"/>
    <mergeCell ref="P34:S34"/>
    <mergeCell ref="T34:AB34"/>
    <mergeCell ref="AC34:AF34"/>
    <mergeCell ref="AG34:AL34"/>
    <mergeCell ref="AM34:AO34"/>
    <mergeCell ref="C36:D36"/>
    <mergeCell ref="E36:N36"/>
    <mergeCell ref="Q36:R36"/>
    <mergeCell ref="S36:AB36"/>
    <mergeCell ref="AE36:AF36"/>
    <mergeCell ref="AG36:AP36"/>
    <mergeCell ref="C37:D37"/>
    <mergeCell ref="E37:N37"/>
    <mergeCell ref="Q37:R37"/>
    <mergeCell ref="S37:AB37"/>
    <mergeCell ref="AE37:AF37"/>
    <mergeCell ref="AG37:AP37"/>
    <mergeCell ref="C38:D38"/>
    <mergeCell ref="E38:N38"/>
    <mergeCell ref="Q38:R38"/>
    <mergeCell ref="S38:AB38"/>
    <mergeCell ref="AE38:AF38"/>
    <mergeCell ref="AG38:AP38"/>
    <mergeCell ref="C39:D39"/>
    <mergeCell ref="E39:N39"/>
    <mergeCell ref="Q39:R39"/>
    <mergeCell ref="S39:AB39"/>
    <mergeCell ref="AE39:AF39"/>
    <mergeCell ref="AG39:AP39"/>
    <mergeCell ref="C40:D40"/>
    <mergeCell ref="E40:N40"/>
    <mergeCell ref="Q40:R40"/>
    <mergeCell ref="S40:AB40"/>
    <mergeCell ref="AE40:AF40"/>
    <mergeCell ref="AG40:AP40"/>
    <mergeCell ref="C43:E43"/>
    <mergeCell ref="F43:I43"/>
    <mergeCell ref="J43:P43"/>
    <mergeCell ref="Q43:W43"/>
    <mergeCell ref="X43:AD43"/>
    <mergeCell ref="AE43:AH43"/>
    <mergeCell ref="AI43:AP43"/>
    <mergeCell ref="R62:Z62"/>
    <mergeCell ref="AA62:AC62"/>
    <mergeCell ref="AD62:AM62"/>
    <mergeCell ref="D59:I59"/>
    <mergeCell ref="J59:Q59"/>
    <mergeCell ref="R59:Z59"/>
    <mergeCell ref="AA59:AC59"/>
    <mergeCell ref="AD59:AM59"/>
    <mergeCell ref="D60:I60"/>
    <mergeCell ref="J60:Q60"/>
    <mergeCell ref="R60:Z60"/>
    <mergeCell ref="AA60:AC60"/>
    <mergeCell ref="AD60:AM60"/>
    <mergeCell ref="C65:F65"/>
    <mergeCell ref="G65:O65"/>
    <mergeCell ref="P65:S65"/>
    <mergeCell ref="T65:AB65"/>
    <mergeCell ref="AC65:AF65"/>
    <mergeCell ref="AG65:AL65"/>
    <mergeCell ref="AM65:AO65"/>
    <mergeCell ref="C67:D67"/>
    <mergeCell ref="E67:N67"/>
    <mergeCell ref="Q67:R67"/>
    <mergeCell ref="S67:AB67"/>
    <mergeCell ref="AE67:AF67"/>
    <mergeCell ref="AG67:AP67"/>
    <mergeCell ref="C69:D69"/>
    <mergeCell ref="E69:N69"/>
    <mergeCell ref="Q69:R69"/>
    <mergeCell ref="S69:AB69"/>
    <mergeCell ref="AE69:AF69"/>
    <mergeCell ref="AG69:AP69"/>
    <mergeCell ref="C68:D68"/>
    <mergeCell ref="E68:N68"/>
    <mergeCell ref="Q68:R68"/>
    <mergeCell ref="S68:AB68"/>
    <mergeCell ref="AE68:AF68"/>
    <mergeCell ref="AG68:AP68"/>
    <mergeCell ref="C71:D71"/>
    <mergeCell ref="E71:N71"/>
    <mergeCell ref="Q71:R71"/>
    <mergeCell ref="S71:AB71"/>
    <mergeCell ref="AE71:AF71"/>
    <mergeCell ref="AG71:AP71"/>
    <mergeCell ref="C70:D70"/>
    <mergeCell ref="E70:N70"/>
    <mergeCell ref="Q70:R70"/>
    <mergeCell ref="S70:AB70"/>
    <mergeCell ref="AE70:AF70"/>
    <mergeCell ref="AG70:AP70"/>
    <mergeCell ref="D90:I90"/>
    <mergeCell ref="J90:Q90"/>
    <mergeCell ref="R90:Z90"/>
    <mergeCell ref="AA90:AC90"/>
    <mergeCell ref="AD90:AM90"/>
    <mergeCell ref="AI87:AP88"/>
    <mergeCell ref="AI85:AP86"/>
    <mergeCell ref="F75:I76"/>
    <mergeCell ref="J75:P76"/>
    <mergeCell ref="X75:AD76"/>
    <mergeCell ref="F79:I80"/>
    <mergeCell ref="J79:P80"/>
    <mergeCell ref="X79:AD80"/>
    <mergeCell ref="F81:I82"/>
    <mergeCell ref="C75:E76"/>
    <mergeCell ref="AE75:AH76"/>
    <mergeCell ref="V75:W76"/>
    <mergeCell ref="Q75:R76"/>
    <mergeCell ref="C77:E78"/>
    <mergeCell ref="AE77:AH78"/>
    <mergeCell ref="V77:W78"/>
    <mergeCell ref="Q77:R78"/>
    <mergeCell ref="C79:E80"/>
    <mergeCell ref="AE79:AH80"/>
    <mergeCell ref="D92:I92"/>
    <mergeCell ref="J92:Q92"/>
    <mergeCell ref="R92:Z92"/>
    <mergeCell ref="AA92:AC92"/>
    <mergeCell ref="AD92:AM92"/>
    <mergeCell ref="D91:I91"/>
    <mergeCell ref="J91:Q91"/>
    <mergeCell ref="R91:Z91"/>
    <mergeCell ref="AA91:AC91"/>
    <mergeCell ref="AD91:AM91"/>
    <mergeCell ref="D93:I93"/>
    <mergeCell ref="J93:Q93"/>
    <mergeCell ref="R93:Z93"/>
    <mergeCell ref="AA93:AC93"/>
    <mergeCell ref="AD93:AM93"/>
    <mergeCell ref="C99:D99"/>
    <mergeCell ref="E99:N99"/>
    <mergeCell ref="Q99:R99"/>
    <mergeCell ref="S99:AB99"/>
    <mergeCell ref="AE99:AF99"/>
    <mergeCell ref="AG99:AP99"/>
    <mergeCell ref="C96:F96"/>
    <mergeCell ref="G96:O96"/>
    <mergeCell ref="P96:S96"/>
    <mergeCell ref="T96:AB96"/>
    <mergeCell ref="AC96:AF96"/>
    <mergeCell ref="AG96:AL96"/>
    <mergeCell ref="AM96:AO96"/>
    <mergeCell ref="C98:D98"/>
    <mergeCell ref="E98:N98"/>
    <mergeCell ref="Q98:R98"/>
    <mergeCell ref="S98:AB98"/>
    <mergeCell ref="AE98:AF98"/>
    <mergeCell ref="AG98:AP98"/>
    <mergeCell ref="Q108:R109"/>
    <mergeCell ref="V108:W109"/>
    <mergeCell ref="C108:E109"/>
    <mergeCell ref="AI108:AP109"/>
    <mergeCell ref="C110:E111"/>
    <mergeCell ref="F110:I111"/>
    <mergeCell ref="C114:E115"/>
    <mergeCell ref="F114:I115"/>
    <mergeCell ref="C100:D100"/>
    <mergeCell ref="E100:N100"/>
    <mergeCell ref="Q100:R100"/>
    <mergeCell ref="S100:AB100"/>
    <mergeCell ref="AE100:AF100"/>
    <mergeCell ref="AG100:AP100"/>
    <mergeCell ref="C101:D101"/>
    <mergeCell ref="E101:N101"/>
    <mergeCell ref="Q101:R101"/>
    <mergeCell ref="S101:AB101"/>
    <mergeCell ref="AE101:AF101"/>
    <mergeCell ref="AG101:AP101"/>
    <mergeCell ref="D124:I124"/>
    <mergeCell ref="J124:Q124"/>
    <mergeCell ref="R124:Z124"/>
    <mergeCell ref="AA124:AC124"/>
    <mergeCell ref="AD124:AM124"/>
    <mergeCell ref="C112:E113"/>
    <mergeCell ref="F112:I113"/>
    <mergeCell ref="V110:W111"/>
    <mergeCell ref="J110:P111"/>
    <mergeCell ref="X110:AD111"/>
    <mergeCell ref="D122:I122"/>
    <mergeCell ref="J122:Q122"/>
    <mergeCell ref="R122:Z122"/>
    <mergeCell ref="AA122:AC122"/>
    <mergeCell ref="AD122:AM122"/>
    <mergeCell ref="V114:W115"/>
    <mergeCell ref="J114:P115"/>
    <mergeCell ref="X114:AD115"/>
    <mergeCell ref="AE114:AH115"/>
    <mergeCell ref="AE112:AH113"/>
    <mergeCell ref="J112:P113"/>
    <mergeCell ref="X112:AD113"/>
    <mergeCell ref="Q110:R111"/>
    <mergeCell ref="D121:I121"/>
    <mergeCell ref="B23:B24"/>
    <mergeCell ref="B25:B26"/>
    <mergeCell ref="B44:B45"/>
    <mergeCell ref="B46:B47"/>
    <mergeCell ref="D123:I123"/>
    <mergeCell ref="J123:Q123"/>
    <mergeCell ref="R123:Z123"/>
    <mergeCell ref="AA123:AC123"/>
    <mergeCell ref="AD123:AM123"/>
    <mergeCell ref="C102:D102"/>
    <mergeCell ref="E102:N102"/>
    <mergeCell ref="Q102:R102"/>
    <mergeCell ref="S102:AB102"/>
    <mergeCell ref="AE102:AF102"/>
    <mergeCell ref="AG102:AP102"/>
    <mergeCell ref="AI105:AP105"/>
    <mergeCell ref="J121:Q121"/>
    <mergeCell ref="R121:Z121"/>
    <mergeCell ref="AA121:AC121"/>
    <mergeCell ref="AD121:AM121"/>
    <mergeCell ref="AI106:AP107"/>
    <mergeCell ref="AI110:AP111"/>
    <mergeCell ref="F106:I107"/>
    <mergeCell ref="AE108:AH109"/>
    <mergeCell ref="B48:B49"/>
    <mergeCell ref="B50:B51"/>
    <mergeCell ref="B52:B53"/>
    <mergeCell ref="B54:B55"/>
    <mergeCell ref="B56:B57"/>
    <mergeCell ref="B75:B76"/>
    <mergeCell ref="B77:B78"/>
    <mergeCell ref="B79:B80"/>
    <mergeCell ref="B81:B82"/>
    <mergeCell ref="A63:AQ64"/>
    <mergeCell ref="C74:E74"/>
    <mergeCell ref="F74:I74"/>
    <mergeCell ref="J74:P74"/>
    <mergeCell ref="Q74:W74"/>
    <mergeCell ref="X74:AD74"/>
    <mergeCell ref="AE74:AH74"/>
    <mergeCell ref="AI74:AP74"/>
    <mergeCell ref="D61:I61"/>
    <mergeCell ref="J61:Q61"/>
    <mergeCell ref="R61:Z61"/>
    <mergeCell ref="AA61:AC61"/>
    <mergeCell ref="AD61:AM61"/>
    <mergeCell ref="D62:I62"/>
    <mergeCell ref="J62:Q62"/>
    <mergeCell ref="B83:B84"/>
    <mergeCell ref="B85:B86"/>
    <mergeCell ref="B87:B88"/>
    <mergeCell ref="B106:B107"/>
    <mergeCell ref="B108:B109"/>
    <mergeCell ref="B110:B111"/>
    <mergeCell ref="B112:B113"/>
    <mergeCell ref="B114:B115"/>
    <mergeCell ref="B116:B117"/>
    <mergeCell ref="B118:B119"/>
    <mergeCell ref="AI75:AP76"/>
    <mergeCell ref="AI77:AP78"/>
    <mergeCell ref="AI79:AP80"/>
    <mergeCell ref="J77:P78"/>
    <mergeCell ref="X77:AD78"/>
    <mergeCell ref="AI118:AP119"/>
    <mergeCell ref="AI83:AP84"/>
    <mergeCell ref="AI81:AP82"/>
    <mergeCell ref="C118:E119"/>
    <mergeCell ref="F118:I119"/>
    <mergeCell ref="AI114:AP115"/>
    <mergeCell ref="AI116:AP117"/>
    <mergeCell ref="Q118:R119"/>
    <mergeCell ref="V118:W119"/>
    <mergeCell ref="J118:P119"/>
    <mergeCell ref="X118:AD119"/>
    <mergeCell ref="AE118:AH119"/>
    <mergeCell ref="Q116:R117"/>
    <mergeCell ref="V116:W117"/>
    <mergeCell ref="J116:P117"/>
    <mergeCell ref="X116:AD117"/>
    <mergeCell ref="AE116:AH117"/>
    <mergeCell ref="Q114:R115"/>
    <mergeCell ref="C46:E47"/>
    <mergeCell ref="Q46:R47"/>
    <mergeCell ref="V46:W47"/>
    <mergeCell ref="C116:E117"/>
    <mergeCell ref="F116:I117"/>
    <mergeCell ref="J87:P88"/>
    <mergeCell ref="X87:AD88"/>
    <mergeCell ref="J83:P84"/>
    <mergeCell ref="X83:AD84"/>
    <mergeCell ref="F85:I86"/>
    <mergeCell ref="F77:I78"/>
    <mergeCell ref="F83:I84"/>
    <mergeCell ref="A94:AQ95"/>
    <mergeCell ref="AI56:AP57"/>
    <mergeCell ref="V56:W57"/>
    <mergeCell ref="F87:I88"/>
    <mergeCell ref="C106:E107"/>
    <mergeCell ref="J85:P86"/>
    <mergeCell ref="X85:AD86"/>
    <mergeCell ref="AI112:AP113"/>
    <mergeCell ref="C56:E57"/>
    <mergeCell ref="F56:I57"/>
    <mergeCell ref="J56:P57"/>
    <mergeCell ref="X56:AD57"/>
    <mergeCell ref="A1:AQ2"/>
    <mergeCell ref="J17:P18"/>
    <mergeCell ref="X17:AD18"/>
    <mergeCell ref="Q17:R18"/>
    <mergeCell ref="V17:W18"/>
    <mergeCell ref="J19:P20"/>
    <mergeCell ref="X19:AD20"/>
    <mergeCell ref="Q23:R24"/>
    <mergeCell ref="Q19:R20"/>
    <mergeCell ref="V19:W20"/>
    <mergeCell ref="V15:W16"/>
    <mergeCell ref="AI23:AP24"/>
    <mergeCell ref="AI19:AP20"/>
    <mergeCell ref="AE15:AH16"/>
    <mergeCell ref="V23:W24"/>
    <mergeCell ref="J23:P24"/>
    <mergeCell ref="X23:AD24"/>
    <mergeCell ref="Q21:R22"/>
    <mergeCell ref="V21:W22"/>
    <mergeCell ref="B13:B14"/>
    <mergeCell ref="B15:B16"/>
    <mergeCell ref="B17:B18"/>
    <mergeCell ref="B19:B20"/>
    <mergeCell ref="B21:B22"/>
    <mergeCell ref="AI46:AP47"/>
    <mergeCell ref="C44:E45"/>
    <mergeCell ref="AI44:AP45"/>
    <mergeCell ref="A32:AQ33"/>
    <mergeCell ref="J13:P14"/>
    <mergeCell ref="X13:AD14"/>
    <mergeCell ref="Q13:R14"/>
    <mergeCell ref="V13:W14"/>
    <mergeCell ref="C13:E14"/>
    <mergeCell ref="J15:P16"/>
    <mergeCell ref="X15:AD16"/>
    <mergeCell ref="C15:E16"/>
    <mergeCell ref="F15:I16"/>
    <mergeCell ref="Q15:R16"/>
    <mergeCell ref="C19:E20"/>
    <mergeCell ref="F19:I20"/>
    <mergeCell ref="C17:E18"/>
    <mergeCell ref="F17:I18"/>
    <mergeCell ref="F13:I14"/>
    <mergeCell ref="AI25:AP26"/>
    <mergeCell ref="V25:W26"/>
    <mergeCell ref="J25:P26"/>
    <mergeCell ref="X25:AD26"/>
    <mergeCell ref="C25:E26"/>
    <mergeCell ref="F48:I49"/>
    <mergeCell ref="F46:I47"/>
    <mergeCell ref="J46:P47"/>
    <mergeCell ref="X46:AD47"/>
    <mergeCell ref="J44:P45"/>
    <mergeCell ref="X44:AD45"/>
    <mergeCell ref="AE44:AH45"/>
    <mergeCell ref="AE46:AH47"/>
    <mergeCell ref="F44:I45"/>
    <mergeCell ref="Q44:R45"/>
    <mergeCell ref="V44:W45"/>
    <mergeCell ref="AE54:AH55"/>
    <mergeCell ref="AI48:AP49"/>
    <mergeCell ref="AI50:AP51"/>
    <mergeCell ref="AI52:AP53"/>
    <mergeCell ref="AI54:AP55"/>
    <mergeCell ref="AE56:AH57"/>
    <mergeCell ref="C54:E55"/>
    <mergeCell ref="F54:I55"/>
    <mergeCell ref="J50:P51"/>
    <mergeCell ref="X50:AD51"/>
    <mergeCell ref="AE50:AH51"/>
    <mergeCell ref="Q48:R49"/>
    <mergeCell ref="V48:W49"/>
    <mergeCell ref="AE48:AH49"/>
    <mergeCell ref="C50:E51"/>
    <mergeCell ref="F50:I51"/>
    <mergeCell ref="Q50:R51"/>
    <mergeCell ref="V50:W51"/>
    <mergeCell ref="C52:E53"/>
    <mergeCell ref="F52:I53"/>
    <mergeCell ref="Q52:R53"/>
    <mergeCell ref="V52:W53"/>
    <mergeCell ref="C48:E49"/>
    <mergeCell ref="Q56:R57"/>
    <mergeCell ref="C83:E84"/>
    <mergeCell ref="AE83:AH84"/>
    <mergeCell ref="V83:W84"/>
    <mergeCell ref="Q83:R84"/>
    <mergeCell ref="J81:P82"/>
    <mergeCell ref="X81:AD82"/>
    <mergeCell ref="C81:E82"/>
    <mergeCell ref="AE81:AH82"/>
    <mergeCell ref="V81:W82"/>
    <mergeCell ref="Q81:R82"/>
    <mergeCell ref="C85:E86"/>
    <mergeCell ref="V85:W86"/>
    <mergeCell ref="Q85:R86"/>
    <mergeCell ref="AE85:AH86"/>
    <mergeCell ref="Q112:R113"/>
    <mergeCell ref="V112:W113"/>
    <mergeCell ref="AE110:AH111"/>
    <mergeCell ref="C87:E88"/>
    <mergeCell ref="AE87:AH88"/>
    <mergeCell ref="V87:W88"/>
    <mergeCell ref="Q87:R88"/>
    <mergeCell ref="AE106:AH107"/>
    <mergeCell ref="F108:I109"/>
    <mergeCell ref="J108:P109"/>
    <mergeCell ref="X108:AD109"/>
    <mergeCell ref="J106:P107"/>
    <mergeCell ref="X106:AD107"/>
    <mergeCell ref="Q106:R107"/>
    <mergeCell ref="V106:W107"/>
    <mergeCell ref="C105:E105"/>
    <mergeCell ref="F105:I105"/>
    <mergeCell ref="J105:P105"/>
    <mergeCell ref="Q105:W105"/>
    <mergeCell ref="X105:AD105"/>
    <mergeCell ref="AE105:AH105"/>
    <mergeCell ref="F25:I26"/>
    <mergeCell ref="F21:I22"/>
    <mergeCell ref="Q25:R26"/>
    <mergeCell ref="AI13:AP14"/>
    <mergeCell ref="AI15:AP16"/>
    <mergeCell ref="AE13:AH14"/>
    <mergeCell ref="AI21:AP22"/>
    <mergeCell ref="AE21:AH22"/>
    <mergeCell ref="AI17:AP18"/>
    <mergeCell ref="AE25:AH26"/>
    <mergeCell ref="AE19:AH20"/>
    <mergeCell ref="AE17:AH18"/>
    <mergeCell ref="V79:W80"/>
    <mergeCell ref="Q79:R80"/>
    <mergeCell ref="J48:P49"/>
    <mergeCell ref="X48:AD49"/>
    <mergeCell ref="J52:P53"/>
    <mergeCell ref="X52:AD53"/>
    <mergeCell ref="AE52:AH53"/>
    <mergeCell ref="Q54:R55"/>
    <mergeCell ref="V54:W55"/>
    <mergeCell ref="J54:P55"/>
    <mergeCell ref="X54:AD55"/>
  </mergeCells>
  <phoneticPr fontId="53"/>
  <conditionalFormatting sqref="C5:AP7">
    <cfRule type="expression" dxfId="32" priority="4">
      <formula>IFERROR(COUNTIF($AR$13:$AS$23,C5),"")</formula>
    </cfRule>
  </conditionalFormatting>
  <conditionalFormatting sqref="C36:AP38">
    <cfRule type="expression" dxfId="31" priority="3">
      <formula>IFERROR(COUNTIF($AR$44:$AS$56,C36),"")</formula>
    </cfRule>
  </conditionalFormatting>
  <conditionalFormatting sqref="C67:AP69">
    <cfRule type="expression" dxfId="30" priority="2">
      <formula>IFERROR(COUNTIF($AR$75:$AS$85,C67),"")</formula>
    </cfRule>
  </conditionalFormatting>
  <conditionalFormatting sqref="C98:AP100">
    <cfRule type="expression" dxfId="29" priority="1">
      <formula>IFERROR(COUNTIF($AR$106:$AS$116,C98),"")</formula>
    </cfRule>
  </conditionalFormatting>
  <printOptions horizontalCentered="1" verticalCentered="1"/>
  <pageMargins left="0.39305555555555599" right="0.39305555555555599" top="0.39305555555555599" bottom="0.39305555555555599" header="0.31388888888888899" footer="0.31388888888888899"/>
  <pageSetup paperSize="9" scale="83" pageOrder="overThenDown" orientation="landscape" r:id="rId1"/>
  <rowBreaks count="3" manualBreakCount="3">
    <brk id="31" max="87" man="1"/>
    <brk id="62" max="87" man="1"/>
    <brk id="93" max="87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AS155"/>
  <sheetViews>
    <sheetView view="pageBreakPreview" topLeftCell="A32" zoomScaleNormal="75" zoomScaleSheetLayoutView="100" workbookViewId="0">
      <selection activeCell="A32" sqref="A32:AQ33"/>
    </sheetView>
  </sheetViews>
  <sheetFormatPr defaultColWidth="9" defaultRowHeight="14.25" x14ac:dyDescent="0.4"/>
  <cols>
    <col min="1" max="43" width="3.125" style="56" customWidth="1"/>
    <col min="44" max="45" width="3.125" style="56" hidden="1" customWidth="1"/>
    <col min="46" max="49" width="3.125" style="56" customWidth="1"/>
    <col min="50" max="16384" width="9" style="56"/>
  </cols>
  <sheetData>
    <row r="1" spans="1:45" ht="14.25" customHeight="1" x14ac:dyDescent="0.4">
      <c r="A1" s="451" t="s">
        <v>564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51"/>
      <c r="Z1" s="451"/>
      <c r="AA1" s="451"/>
      <c r="AB1" s="451"/>
      <c r="AC1" s="451"/>
      <c r="AD1" s="451"/>
      <c r="AE1" s="451"/>
      <c r="AF1" s="451"/>
      <c r="AG1" s="451"/>
      <c r="AH1" s="451"/>
      <c r="AI1" s="451"/>
      <c r="AJ1" s="451"/>
      <c r="AK1" s="451"/>
      <c r="AL1" s="451"/>
      <c r="AM1" s="451"/>
      <c r="AN1" s="451"/>
      <c r="AO1" s="451"/>
      <c r="AP1" s="451"/>
      <c r="AQ1" s="451"/>
      <c r="AR1" s="142"/>
      <c r="AS1" s="142"/>
    </row>
    <row r="2" spans="1:45" ht="14.25" customHeight="1" x14ac:dyDescent="0.4">
      <c r="A2" s="451"/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1"/>
      <c r="AG2" s="451"/>
      <c r="AH2" s="451"/>
      <c r="AI2" s="451"/>
      <c r="AJ2" s="451"/>
      <c r="AK2" s="451"/>
      <c r="AL2" s="451"/>
      <c r="AM2" s="451"/>
      <c r="AN2" s="451"/>
      <c r="AO2" s="451"/>
      <c r="AP2" s="451"/>
      <c r="AQ2" s="451"/>
      <c r="AR2" s="142"/>
      <c r="AS2" s="142"/>
    </row>
    <row r="3" spans="1:45" ht="27.75" customHeight="1" x14ac:dyDescent="0.4">
      <c r="C3" s="460" t="s">
        <v>8</v>
      </c>
      <c r="D3" s="460"/>
      <c r="E3" s="460"/>
      <c r="F3" s="460"/>
      <c r="G3" s="482" t="str">
        <f>U12対戦スケジュール!B17</f>
        <v>平出サッカー場 Ｂ</v>
      </c>
      <c r="H3" s="483"/>
      <c r="I3" s="483"/>
      <c r="J3" s="483"/>
      <c r="K3" s="483"/>
      <c r="L3" s="483"/>
      <c r="M3" s="483"/>
      <c r="N3" s="483"/>
      <c r="O3" s="483"/>
      <c r="P3" s="460" t="s">
        <v>0</v>
      </c>
      <c r="Q3" s="460"/>
      <c r="R3" s="460"/>
      <c r="S3" s="460"/>
      <c r="T3" s="482" t="str">
        <f>U12対戦スケジュール!B18</f>
        <v>ＦＣアネーロ･U-12</v>
      </c>
      <c r="U3" s="483"/>
      <c r="V3" s="483"/>
      <c r="W3" s="483"/>
      <c r="X3" s="483"/>
      <c r="Y3" s="483"/>
      <c r="Z3" s="483"/>
      <c r="AA3" s="483"/>
      <c r="AB3" s="483"/>
      <c r="AC3" s="460" t="s">
        <v>9</v>
      </c>
      <c r="AD3" s="460"/>
      <c r="AE3" s="460"/>
      <c r="AF3" s="460"/>
      <c r="AG3" s="484">
        <f>U12組合せ!$B28</f>
        <v>43716</v>
      </c>
      <c r="AH3" s="485"/>
      <c r="AI3" s="485"/>
      <c r="AJ3" s="485"/>
      <c r="AK3" s="485"/>
      <c r="AL3" s="485"/>
      <c r="AM3" s="488" t="str">
        <f>"（"&amp;TEXT(AG3,"aaa")&amp;"）"</f>
        <v>（日）</v>
      </c>
      <c r="AN3" s="488"/>
      <c r="AO3" s="489"/>
    </row>
    <row r="4" spans="1:45" ht="15" customHeight="1" x14ac:dyDescent="0.4"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64"/>
      <c r="X4" s="64"/>
      <c r="Y4" s="64"/>
      <c r="Z4" s="64"/>
      <c r="AA4" s="64"/>
      <c r="AB4" s="64"/>
      <c r="AC4" s="64"/>
    </row>
    <row r="5" spans="1:45" ht="18" customHeight="1" x14ac:dyDescent="0.4">
      <c r="C5" s="475">
        <v>1</v>
      </c>
      <c r="D5" s="475"/>
      <c r="E5" s="476" t="str">
        <f>U12組合せ!$H$14</f>
        <v>清原ＳＳＳ</v>
      </c>
      <c r="F5" s="476"/>
      <c r="G5" s="476"/>
      <c r="H5" s="476"/>
      <c r="I5" s="476"/>
      <c r="J5" s="476"/>
      <c r="K5" s="476"/>
      <c r="L5" s="476"/>
      <c r="M5" s="476"/>
      <c r="N5" s="476"/>
      <c r="O5" s="58"/>
      <c r="P5" s="58"/>
      <c r="Q5" s="475">
        <v>2</v>
      </c>
      <c r="R5" s="475"/>
      <c r="S5" s="476" t="str">
        <f>U12組合せ!$H$15</f>
        <v>ＦＣグランディール</v>
      </c>
      <c r="T5" s="476"/>
      <c r="U5" s="476"/>
      <c r="V5" s="476"/>
      <c r="W5" s="476"/>
      <c r="X5" s="476"/>
      <c r="Y5" s="476"/>
      <c r="Z5" s="476"/>
      <c r="AA5" s="476"/>
      <c r="AB5" s="476"/>
      <c r="AC5" s="68"/>
      <c r="AD5" s="55"/>
      <c r="AE5" s="475">
        <v>3</v>
      </c>
      <c r="AF5" s="475"/>
      <c r="AG5" s="476" t="str">
        <f>U12組合せ!$H$16</f>
        <v>ＦＣブロケード</v>
      </c>
      <c r="AH5" s="476"/>
      <c r="AI5" s="476"/>
      <c r="AJ5" s="476"/>
      <c r="AK5" s="476"/>
      <c r="AL5" s="476"/>
      <c r="AM5" s="476"/>
      <c r="AN5" s="476"/>
      <c r="AO5" s="476"/>
      <c r="AP5" s="476"/>
    </row>
    <row r="6" spans="1:45" ht="18" customHeight="1" x14ac:dyDescent="0.4">
      <c r="C6" s="475">
        <v>4</v>
      </c>
      <c r="D6" s="475"/>
      <c r="E6" s="476" t="str">
        <f>U12組合せ!$H$17</f>
        <v>緑が丘ＹＦＣ</v>
      </c>
      <c r="F6" s="476"/>
      <c r="G6" s="476"/>
      <c r="H6" s="476"/>
      <c r="I6" s="476"/>
      <c r="J6" s="476"/>
      <c r="K6" s="476"/>
      <c r="L6" s="476"/>
      <c r="M6" s="476"/>
      <c r="N6" s="476"/>
      <c r="O6" s="58"/>
      <c r="P6" s="58"/>
      <c r="Q6" s="475">
        <v>5</v>
      </c>
      <c r="R6" s="475"/>
      <c r="S6" s="476" t="str">
        <f>U12組合せ!$H$18</f>
        <v>ともぞうＳＣ U12</v>
      </c>
      <c r="T6" s="476"/>
      <c r="U6" s="476"/>
      <c r="V6" s="476"/>
      <c r="W6" s="476"/>
      <c r="X6" s="476"/>
      <c r="Y6" s="476"/>
      <c r="Z6" s="476"/>
      <c r="AA6" s="476"/>
      <c r="AB6" s="476"/>
      <c r="AC6" s="68"/>
      <c r="AD6" s="55"/>
      <c r="AE6" s="475">
        <v>6</v>
      </c>
      <c r="AF6" s="475"/>
      <c r="AG6" s="476" t="str">
        <f>U12組合せ!$H$19</f>
        <v>ＦＣアネーロ･U-12</v>
      </c>
      <c r="AH6" s="476"/>
      <c r="AI6" s="476"/>
      <c r="AJ6" s="476"/>
      <c r="AK6" s="476"/>
      <c r="AL6" s="476"/>
      <c r="AM6" s="476"/>
      <c r="AN6" s="476"/>
      <c r="AO6" s="476"/>
      <c r="AP6" s="476"/>
    </row>
    <row r="7" spans="1:45" ht="18" customHeight="1" x14ac:dyDescent="0.4">
      <c r="C7" s="577">
        <v>7</v>
      </c>
      <c r="D7" s="577"/>
      <c r="E7" s="578" t="str">
        <f>U12組合せ!$H$20</f>
        <v>細谷サッカークラブ</v>
      </c>
      <c r="F7" s="578"/>
      <c r="G7" s="578"/>
      <c r="H7" s="578"/>
      <c r="I7" s="578"/>
      <c r="J7" s="578"/>
      <c r="K7" s="578"/>
      <c r="L7" s="578"/>
      <c r="M7" s="578"/>
      <c r="N7" s="578"/>
      <c r="O7" s="58"/>
      <c r="P7" s="58"/>
      <c r="Q7" s="577">
        <v>8</v>
      </c>
      <c r="R7" s="577"/>
      <c r="S7" s="578" t="str">
        <f>U12組合せ!$H$21</f>
        <v>ＦＣ Ｒｉｓｏ</v>
      </c>
      <c r="T7" s="578"/>
      <c r="U7" s="578"/>
      <c r="V7" s="578"/>
      <c r="W7" s="578"/>
      <c r="X7" s="578"/>
      <c r="Y7" s="578"/>
      <c r="Z7" s="578"/>
      <c r="AA7" s="578"/>
      <c r="AB7" s="578"/>
      <c r="AC7" s="68"/>
      <c r="AD7" s="55"/>
      <c r="AE7" s="577">
        <v>9</v>
      </c>
      <c r="AF7" s="577"/>
      <c r="AG7" s="578" t="str">
        <f>U12組合せ!$H$22</f>
        <v>上三川ＦＣ</v>
      </c>
      <c r="AH7" s="578"/>
      <c r="AI7" s="578"/>
      <c r="AJ7" s="578"/>
      <c r="AK7" s="578"/>
      <c r="AL7" s="578"/>
      <c r="AM7" s="578"/>
      <c r="AN7" s="578"/>
      <c r="AO7" s="578"/>
      <c r="AP7" s="578"/>
    </row>
    <row r="8" spans="1:45" ht="18" customHeight="1" x14ac:dyDescent="0.4">
      <c r="C8" s="475"/>
      <c r="D8" s="475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58"/>
      <c r="P8" s="58"/>
      <c r="Q8" s="475"/>
      <c r="R8" s="475"/>
      <c r="S8" s="476"/>
      <c r="T8" s="476"/>
      <c r="U8" s="476"/>
      <c r="V8" s="476"/>
      <c r="W8" s="476"/>
      <c r="X8" s="476"/>
      <c r="Y8" s="476"/>
      <c r="Z8" s="476"/>
      <c r="AA8" s="476"/>
      <c r="AB8" s="476"/>
      <c r="AC8" s="68"/>
      <c r="AD8" s="55"/>
      <c r="AE8" s="475"/>
      <c r="AF8" s="475"/>
      <c r="AG8" s="476"/>
      <c r="AH8" s="476"/>
      <c r="AI8" s="476"/>
      <c r="AJ8" s="476"/>
      <c r="AK8" s="476"/>
      <c r="AL8" s="476"/>
      <c r="AM8" s="476"/>
      <c r="AN8" s="476"/>
      <c r="AO8" s="476"/>
      <c r="AP8" s="476"/>
    </row>
    <row r="9" spans="1:45" ht="18" customHeight="1" x14ac:dyDescent="0.4">
      <c r="B9" s="57"/>
      <c r="C9" s="475"/>
      <c r="D9" s="475"/>
      <c r="E9" s="476"/>
      <c r="F9" s="476"/>
      <c r="G9" s="476"/>
      <c r="H9" s="476"/>
      <c r="I9" s="476"/>
      <c r="J9" s="476"/>
      <c r="K9" s="476"/>
      <c r="L9" s="476"/>
      <c r="M9" s="476"/>
      <c r="N9" s="476"/>
      <c r="O9" s="58"/>
      <c r="P9" s="58"/>
      <c r="Q9" s="475"/>
      <c r="R9" s="475"/>
      <c r="S9" s="476"/>
      <c r="T9" s="476"/>
      <c r="U9" s="476"/>
      <c r="V9" s="476"/>
      <c r="W9" s="476"/>
      <c r="X9" s="476"/>
      <c r="Y9" s="476"/>
      <c r="Z9" s="476"/>
      <c r="AA9" s="476"/>
      <c r="AB9" s="476"/>
      <c r="AC9" s="68"/>
      <c r="AD9" s="55"/>
      <c r="AE9" s="475"/>
      <c r="AF9" s="475"/>
      <c r="AG9" s="476"/>
      <c r="AH9" s="476"/>
      <c r="AI9" s="476"/>
      <c r="AJ9" s="476"/>
      <c r="AK9" s="476"/>
      <c r="AL9" s="476"/>
      <c r="AM9" s="476"/>
      <c r="AN9" s="476"/>
      <c r="AO9" s="476"/>
      <c r="AP9" s="476"/>
      <c r="AQ9" s="57"/>
      <c r="AR9" s="57"/>
      <c r="AS9" s="57"/>
    </row>
    <row r="10" spans="1:45" ht="18" customHeight="1" x14ac:dyDescent="0.4">
      <c r="C10" s="524"/>
      <c r="D10" s="524"/>
      <c r="E10" s="546"/>
      <c r="F10" s="546"/>
      <c r="G10" s="546"/>
      <c r="H10" s="546"/>
      <c r="I10" s="546"/>
      <c r="J10" s="546"/>
      <c r="K10" s="546"/>
      <c r="L10" s="546"/>
      <c r="M10" s="546"/>
      <c r="N10" s="546"/>
      <c r="O10" s="58"/>
      <c r="P10" s="58"/>
      <c r="Q10" s="524"/>
      <c r="R10" s="524"/>
      <c r="S10" s="546"/>
      <c r="T10" s="546"/>
      <c r="U10" s="546"/>
      <c r="V10" s="546"/>
      <c r="W10" s="546"/>
      <c r="X10" s="546"/>
      <c r="Y10" s="546"/>
      <c r="Z10" s="546"/>
      <c r="AA10" s="546"/>
      <c r="AB10" s="546"/>
      <c r="AC10" s="68"/>
      <c r="AD10" s="58"/>
      <c r="AE10" s="524"/>
      <c r="AF10" s="524"/>
      <c r="AG10" s="546"/>
      <c r="AH10" s="546"/>
      <c r="AI10" s="546"/>
      <c r="AJ10" s="546"/>
      <c r="AK10" s="546"/>
      <c r="AL10" s="546"/>
      <c r="AM10" s="546"/>
      <c r="AN10" s="546"/>
      <c r="AO10" s="546"/>
      <c r="AP10" s="546"/>
    </row>
    <row r="11" spans="1:45" ht="21" customHeight="1" x14ac:dyDescent="0.4">
      <c r="B11" s="56" t="s">
        <v>568</v>
      </c>
    </row>
    <row r="12" spans="1:45" ht="20.25" customHeight="1" x14ac:dyDescent="0.4">
      <c r="B12" s="219"/>
      <c r="C12" s="456" t="s">
        <v>25</v>
      </c>
      <c r="D12" s="456"/>
      <c r="E12" s="456"/>
      <c r="F12" s="458" t="s">
        <v>26</v>
      </c>
      <c r="G12" s="459"/>
      <c r="H12" s="459"/>
      <c r="I12" s="459"/>
      <c r="J12" s="456" t="s">
        <v>27</v>
      </c>
      <c r="K12" s="457"/>
      <c r="L12" s="457"/>
      <c r="M12" s="457"/>
      <c r="N12" s="457"/>
      <c r="O12" s="457"/>
      <c r="P12" s="457"/>
      <c r="Q12" s="456" t="s">
        <v>570</v>
      </c>
      <c r="R12" s="456"/>
      <c r="S12" s="456"/>
      <c r="T12" s="456"/>
      <c r="U12" s="456"/>
      <c r="V12" s="456"/>
      <c r="W12" s="456"/>
      <c r="X12" s="456" t="s">
        <v>27</v>
      </c>
      <c r="Y12" s="457"/>
      <c r="Z12" s="457"/>
      <c r="AA12" s="457"/>
      <c r="AB12" s="457"/>
      <c r="AC12" s="457"/>
      <c r="AD12" s="457"/>
      <c r="AE12" s="458" t="s">
        <v>26</v>
      </c>
      <c r="AF12" s="459"/>
      <c r="AG12" s="459"/>
      <c r="AH12" s="459"/>
      <c r="AI12" s="456" t="s">
        <v>29</v>
      </c>
      <c r="AJ12" s="456"/>
      <c r="AK12" s="457"/>
      <c r="AL12" s="457"/>
      <c r="AM12" s="457"/>
      <c r="AN12" s="457"/>
      <c r="AO12" s="457"/>
      <c r="AP12" s="457"/>
    </row>
    <row r="13" spans="1:45" ht="20.100000000000001" customHeight="1" x14ac:dyDescent="0.4">
      <c r="B13" s="472">
        <v>1</v>
      </c>
      <c r="C13" s="452">
        <v>0.35416666666666669</v>
      </c>
      <c r="D13" s="452"/>
      <c r="E13" s="452"/>
      <c r="F13" s="443"/>
      <c r="G13" s="444"/>
      <c r="H13" s="444"/>
      <c r="I13" s="444"/>
      <c r="J13" s="445" t="str">
        <f>IFERROR(VLOOKUP(AR13,$C$5:$N$7,3,0),"")&amp;IFERROR(VLOOKUP(AR13,$Q$5:$AB$7,3,0),"")&amp;IFERROR(VLOOKUP(AR13,$AE$5:$AP$7,3,0),"")</f>
        <v>清原ＳＳＳ</v>
      </c>
      <c r="K13" s="446"/>
      <c r="L13" s="446"/>
      <c r="M13" s="446"/>
      <c r="N13" s="446"/>
      <c r="O13" s="446"/>
      <c r="P13" s="446"/>
      <c r="Q13" s="450">
        <f t="shared" ref="Q13:Q17" si="0">IF(OR(S13="",S14=""),"",S13+S14)</f>
        <v>1</v>
      </c>
      <c r="R13" s="450"/>
      <c r="S13" s="220">
        <v>0</v>
      </c>
      <c r="T13" s="221" t="s">
        <v>30</v>
      </c>
      <c r="U13" s="220">
        <v>0</v>
      </c>
      <c r="V13" s="450">
        <f t="shared" ref="V13:V17" si="1">IF(OR(U13="",U14=""),"",U13+U14)</f>
        <v>0</v>
      </c>
      <c r="W13" s="450"/>
      <c r="X13" s="447" t="str">
        <f>IFERROR(VLOOKUP(AS13,$C$5:$N$7,3,0),"")&amp;IFERROR(VLOOKUP(AS13,$Q$5:$AB$7,3,0),"")&amp;IFERROR(VLOOKUP(AS13,$AE$5:$AP$7,3,0),"")</f>
        <v>ＦＣグランディール</v>
      </c>
      <c r="Y13" s="448"/>
      <c r="Z13" s="448"/>
      <c r="AA13" s="448"/>
      <c r="AB13" s="448"/>
      <c r="AC13" s="448"/>
      <c r="AD13" s="448"/>
      <c r="AE13" s="443"/>
      <c r="AF13" s="444"/>
      <c r="AG13" s="444"/>
      <c r="AH13" s="444"/>
      <c r="AI13" s="450" t="str">
        <f ca="1">DBCS(INDIRECT("U12対戦スケジュール!c"&amp;((ROW()-1)/2+13)))</f>
        <v>４／５／５／４</v>
      </c>
      <c r="AJ13" s="444"/>
      <c r="AK13" s="444"/>
      <c r="AL13" s="444"/>
      <c r="AM13" s="444"/>
      <c r="AN13" s="444"/>
      <c r="AO13" s="444"/>
      <c r="AP13" s="444"/>
      <c r="AR13" s="56">
        <v>1</v>
      </c>
      <c r="AS13" s="56">
        <v>2</v>
      </c>
    </row>
    <row r="14" spans="1:45" ht="20.100000000000001" customHeight="1" x14ac:dyDescent="0.4">
      <c r="B14" s="472"/>
      <c r="C14" s="452"/>
      <c r="D14" s="452"/>
      <c r="E14" s="452"/>
      <c r="F14" s="444"/>
      <c r="G14" s="444"/>
      <c r="H14" s="444"/>
      <c r="I14" s="444"/>
      <c r="J14" s="446"/>
      <c r="K14" s="446"/>
      <c r="L14" s="446"/>
      <c r="M14" s="446"/>
      <c r="N14" s="446"/>
      <c r="O14" s="446"/>
      <c r="P14" s="446"/>
      <c r="Q14" s="450"/>
      <c r="R14" s="450"/>
      <c r="S14" s="220">
        <v>1</v>
      </c>
      <c r="T14" s="221" t="s">
        <v>30</v>
      </c>
      <c r="U14" s="220">
        <v>0</v>
      </c>
      <c r="V14" s="450"/>
      <c r="W14" s="450"/>
      <c r="X14" s="448"/>
      <c r="Y14" s="448"/>
      <c r="Z14" s="448"/>
      <c r="AA14" s="448"/>
      <c r="AB14" s="448"/>
      <c r="AC14" s="448"/>
      <c r="AD14" s="448"/>
      <c r="AE14" s="444"/>
      <c r="AF14" s="444"/>
      <c r="AG14" s="444"/>
      <c r="AH14" s="444"/>
      <c r="AI14" s="444"/>
      <c r="AJ14" s="444"/>
      <c r="AK14" s="444"/>
      <c r="AL14" s="444"/>
      <c r="AM14" s="444"/>
      <c r="AN14" s="444"/>
      <c r="AO14" s="444"/>
      <c r="AP14" s="444"/>
    </row>
    <row r="15" spans="1:45" ht="20.100000000000001" customHeight="1" x14ac:dyDescent="0.4">
      <c r="B15" s="472">
        <v>2</v>
      </c>
      <c r="C15" s="452">
        <v>0.3888888888888889</v>
      </c>
      <c r="D15" s="452">
        <v>0.4375</v>
      </c>
      <c r="E15" s="452"/>
      <c r="F15" s="443"/>
      <c r="G15" s="444"/>
      <c r="H15" s="444"/>
      <c r="I15" s="444"/>
      <c r="J15" s="445" t="str">
        <f t="shared" ref="J15" si="2">IFERROR(VLOOKUP(AR15,$C$5:$N$7,3,0),"")&amp;IFERROR(VLOOKUP(AR15,$Q$5:$AB$7,3,0),"")&amp;IFERROR(VLOOKUP(AR15,$AE$5:$AP$7,3,0),"")</f>
        <v>緑が丘ＹＦＣ</v>
      </c>
      <c r="K15" s="446"/>
      <c r="L15" s="446"/>
      <c r="M15" s="446"/>
      <c r="N15" s="446"/>
      <c r="O15" s="446"/>
      <c r="P15" s="446"/>
      <c r="Q15" s="450">
        <f t="shared" si="0"/>
        <v>2</v>
      </c>
      <c r="R15" s="450"/>
      <c r="S15" s="220">
        <v>2</v>
      </c>
      <c r="T15" s="221" t="s">
        <v>30</v>
      </c>
      <c r="U15" s="220">
        <v>2</v>
      </c>
      <c r="V15" s="450">
        <f t="shared" si="1"/>
        <v>3</v>
      </c>
      <c r="W15" s="450"/>
      <c r="X15" s="447" t="str">
        <f t="shared" ref="X15" si="3">IFERROR(VLOOKUP(AS15,$C$5:$N$7,3,0),"")&amp;IFERROR(VLOOKUP(AS15,$Q$5:$AB$7,3,0),"")&amp;IFERROR(VLOOKUP(AS15,$AE$5:$AP$7,3,0),"")</f>
        <v>ともぞうＳＣ U12</v>
      </c>
      <c r="Y15" s="448"/>
      <c r="Z15" s="448"/>
      <c r="AA15" s="448"/>
      <c r="AB15" s="448"/>
      <c r="AC15" s="448"/>
      <c r="AD15" s="448"/>
      <c r="AE15" s="443"/>
      <c r="AF15" s="444"/>
      <c r="AG15" s="444"/>
      <c r="AH15" s="444"/>
      <c r="AI15" s="450" t="str">
        <f ca="1">DBCS(INDIRECT("U12対戦スケジュール!c"&amp;((ROW()-1)/2+13)))</f>
        <v>１／２／２／１</v>
      </c>
      <c r="AJ15" s="444"/>
      <c r="AK15" s="444"/>
      <c r="AL15" s="444"/>
      <c r="AM15" s="444"/>
      <c r="AN15" s="444"/>
      <c r="AO15" s="444"/>
      <c r="AP15" s="444"/>
      <c r="AR15" s="56">
        <v>4</v>
      </c>
      <c r="AS15" s="56">
        <v>5</v>
      </c>
    </row>
    <row r="16" spans="1:45" ht="20.100000000000001" customHeight="1" x14ac:dyDescent="0.4">
      <c r="B16" s="472"/>
      <c r="C16" s="452"/>
      <c r="D16" s="452"/>
      <c r="E16" s="452"/>
      <c r="F16" s="444"/>
      <c r="G16" s="444"/>
      <c r="H16" s="444"/>
      <c r="I16" s="444"/>
      <c r="J16" s="446"/>
      <c r="K16" s="446"/>
      <c r="L16" s="446"/>
      <c r="M16" s="446"/>
      <c r="N16" s="446"/>
      <c r="O16" s="446"/>
      <c r="P16" s="446"/>
      <c r="Q16" s="450"/>
      <c r="R16" s="450"/>
      <c r="S16" s="220">
        <v>0</v>
      </c>
      <c r="T16" s="221" t="s">
        <v>30</v>
      </c>
      <c r="U16" s="220">
        <v>1</v>
      </c>
      <c r="V16" s="450"/>
      <c r="W16" s="450"/>
      <c r="X16" s="448"/>
      <c r="Y16" s="448"/>
      <c r="Z16" s="448"/>
      <c r="AA16" s="448"/>
      <c r="AB16" s="448"/>
      <c r="AC16" s="448"/>
      <c r="AD16" s="448"/>
      <c r="AE16" s="444"/>
      <c r="AF16" s="444"/>
      <c r="AG16" s="444"/>
      <c r="AH16" s="444"/>
      <c r="AI16" s="444"/>
      <c r="AJ16" s="444"/>
      <c r="AK16" s="444"/>
      <c r="AL16" s="444"/>
      <c r="AM16" s="444"/>
      <c r="AN16" s="444"/>
      <c r="AO16" s="444"/>
      <c r="AP16" s="444"/>
    </row>
    <row r="17" spans="1:45" ht="20.100000000000001" customHeight="1" x14ac:dyDescent="0.4">
      <c r="B17" s="472">
        <v>3</v>
      </c>
      <c r="C17" s="452">
        <v>0.4236111111111111</v>
      </c>
      <c r="D17" s="452"/>
      <c r="E17" s="452"/>
      <c r="F17" s="443"/>
      <c r="G17" s="444"/>
      <c r="H17" s="444"/>
      <c r="I17" s="444"/>
      <c r="J17" s="445" t="str">
        <f t="shared" ref="J17" si="4">IFERROR(VLOOKUP(AR17,$C$5:$N$7,3,0),"")&amp;IFERROR(VLOOKUP(AR17,$Q$5:$AB$7,3,0),"")&amp;IFERROR(VLOOKUP(AR17,$AE$5:$AP$7,3,0),"")</f>
        <v>ＦＣブロケード</v>
      </c>
      <c r="K17" s="446"/>
      <c r="L17" s="446"/>
      <c r="M17" s="446"/>
      <c r="N17" s="446"/>
      <c r="O17" s="446"/>
      <c r="P17" s="446"/>
      <c r="Q17" s="450">
        <f t="shared" si="0"/>
        <v>0</v>
      </c>
      <c r="R17" s="450"/>
      <c r="S17" s="220">
        <v>0</v>
      </c>
      <c r="T17" s="221" t="s">
        <v>30</v>
      </c>
      <c r="U17" s="220">
        <v>0</v>
      </c>
      <c r="V17" s="450">
        <f t="shared" si="1"/>
        <v>0</v>
      </c>
      <c r="W17" s="450"/>
      <c r="X17" s="447" t="str">
        <f t="shared" ref="X17" si="5">IFERROR(VLOOKUP(AS17,$C$5:$N$7,3,0),"")&amp;IFERROR(VLOOKUP(AS17,$Q$5:$AB$7,3,0),"")&amp;IFERROR(VLOOKUP(AS17,$AE$5:$AP$7,3,0),"")</f>
        <v>清原ＳＳＳ</v>
      </c>
      <c r="Y17" s="448"/>
      <c r="Z17" s="448"/>
      <c r="AA17" s="448"/>
      <c r="AB17" s="448"/>
      <c r="AC17" s="448"/>
      <c r="AD17" s="448"/>
      <c r="AE17" s="443"/>
      <c r="AF17" s="444"/>
      <c r="AG17" s="444"/>
      <c r="AH17" s="444"/>
      <c r="AI17" s="450" t="str">
        <f ca="1">DBCS(INDIRECT("U12対戦スケジュール!c"&amp;((ROW()-1)/2+13)))</f>
        <v>６／４／４／６</v>
      </c>
      <c r="AJ17" s="444"/>
      <c r="AK17" s="444"/>
      <c r="AL17" s="444"/>
      <c r="AM17" s="444"/>
      <c r="AN17" s="444"/>
      <c r="AO17" s="444"/>
      <c r="AP17" s="444"/>
      <c r="AR17" s="56">
        <v>3</v>
      </c>
      <c r="AS17" s="56">
        <v>1</v>
      </c>
    </row>
    <row r="18" spans="1:45" ht="20.100000000000001" customHeight="1" x14ac:dyDescent="0.4">
      <c r="B18" s="472"/>
      <c r="C18" s="452"/>
      <c r="D18" s="452"/>
      <c r="E18" s="452"/>
      <c r="F18" s="444"/>
      <c r="G18" s="444"/>
      <c r="H18" s="444"/>
      <c r="I18" s="444"/>
      <c r="J18" s="446"/>
      <c r="K18" s="446"/>
      <c r="L18" s="446"/>
      <c r="M18" s="446"/>
      <c r="N18" s="446"/>
      <c r="O18" s="446"/>
      <c r="P18" s="446"/>
      <c r="Q18" s="450"/>
      <c r="R18" s="450"/>
      <c r="S18" s="220">
        <v>0</v>
      </c>
      <c r="T18" s="221" t="s">
        <v>30</v>
      </c>
      <c r="U18" s="220">
        <v>0</v>
      </c>
      <c r="V18" s="450"/>
      <c r="W18" s="450"/>
      <c r="X18" s="448"/>
      <c r="Y18" s="448"/>
      <c r="Z18" s="448"/>
      <c r="AA18" s="448"/>
      <c r="AB18" s="448"/>
      <c r="AC18" s="448"/>
      <c r="AD18" s="448"/>
      <c r="AE18" s="444"/>
      <c r="AF18" s="444"/>
      <c r="AG18" s="444"/>
      <c r="AH18" s="444"/>
      <c r="AI18" s="444"/>
      <c r="AJ18" s="444"/>
      <c r="AK18" s="444"/>
      <c r="AL18" s="444"/>
      <c r="AM18" s="444"/>
      <c r="AN18" s="444"/>
      <c r="AO18" s="444"/>
      <c r="AP18" s="444"/>
    </row>
    <row r="19" spans="1:45" ht="20.100000000000001" customHeight="1" x14ac:dyDescent="0.4">
      <c r="B19" s="472">
        <v>4</v>
      </c>
      <c r="C19" s="452">
        <v>0.45833333333333331</v>
      </c>
      <c r="D19" s="452">
        <v>0.4375</v>
      </c>
      <c r="E19" s="452"/>
      <c r="F19" s="443"/>
      <c r="G19" s="444"/>
      <c r="H19" s="444"/>
      <c r="I19" s="444"/>
      <c r="J19" s="445" t="str">
        <f t="shared" ref="J19" si="6">IFERROR(VLOOKUP(AR19,$C$5:$N$7,3,0),"")&amp;IFERROR(VLOOKUP(AR19,$Q$5:$AB$7,3,0),"")&amp;IFERROR(VLOOKUP(AR19,$AE$5:$AP$7,3,0),"")</f>
        <v>ＦＣアネーロ･U-12</v>
      </c>
      <c r="K19" s="446"/>
      <c r="L19" s="446"/>
      <c r="M19" s="446"/>
      <c r="N19" s="446"/>
      <c r="O19" s="446"/>
      <c r="P19" s="446"/>
      <c r="Q19" s="450">
        <f t="shared" ref="Q19:Q23" si="7">IF(OR(S19="",S20=""),"",S19+S20)</f>
        <v>3</v>
      </c>
      <c r="R19" s="450"/>
      <c r="S19" s="220">
        <v>1</v>
      </c>
      <c r="T19" s="221" t="s">
        <v>30</v>
      </c>
      <c r="U19" s="220">
        <v>0</v>
      </c>
      <c r="V19" s="450">
        <f t="shared" ref="V19:V23" si="8">IF(OR(U19="",U20=""),"",U19+U20)</f>
        <v>1</v>
      </c>
      <c r="W19" s="450"/>
      <c r="X19" s="447" t="str">
        <f t="shared" ref="X19" si="9">IFERROR(VLOOKUP(AS19,$C$5:$N$7,3,0),"")&amp;IFERROR(VLOOKUP(AS19,$Q$5:$AB$7,3,0),"")&amp;IFERROR(VLOOKUP(AS19,$AE$5:$AP$7,3,0),"")</f>
        <v>緑が丘ＹＦＣ</v>
      </c>
      <c r="Y19" s="448"/>
      <c r="Z19" s="448"/>
      <c r="AA19" s="448"/>
      <c r="AB19" s="448"/>
      <c r="AC19" s="448"/>
      <c r="AD19" s="448"/>
      <c r="AE19" s="443"/>
      <c r="AF19" s="444"/>
      <c r="AG19" s="444"/>
      <c r="AH19" s="444"/>
      <c r="AI19" s="450" t="str">
        <f ca="1">DBCS(INDIRECT("U12対戦スケジュール!c"&amp;((ROW()-1)/2+13)))</f>
        <v>３／１／１／３</v>
      </c>
      <c r="AJ19" s="444"/>
      <c r="AK19" s="444"/>
      <c r="AL19" s="444"/>
      <c r="AM19" s="444"/>
      <c r="AN19" s="444"/>
      <c r="AO19" s="444"/>
      <c r="AP19" s="444"/>
      <c r="AR19" s="56">
        <v>6</v>
      </c>
      <c r="AS19" s="56">
        <v>4</v>
      </c>
    </row>
    <row r="20" spans="1:45" ht="20.100000000000001" customHeight="1" x14ac:dyDescent="0.4">
      <c r="B20" s="472"/>
      <c r="C20" s="452"/>
      <c r="D20" s="452"/>
      <c r="E20" s="452"/>
      <c r="F20" s="444"/>
      <c r="G20" s="444"/>
      <c r="H20" s="444"/>
      <c r="I20" s="444"/>
      <c r="J20" s="446"/>
      <c r="K20" s="446"/>
      <c r="L20" s="446"/>
      <c r="M20" s="446"/>
      <c r="N20" s="446"/>
      <c r="O20" s="446"/>
      <c r="P20" s="446"/>
      <c r="Q20" s="450"/>
      <c r="R20" s="450"/>
      <c r="S20" s="220">
        <v>2</v>
      </c>
      <c r="T20" s="221" t="s">
        <v>30</v>
      </c>
      <c r="U20" s="220">
        <v>1</v>
      </c>
      <c r="V20" s="450"/>
      <c r="W20" s="450"/>
      <c r="X20" s="448"/>
      <c r="Y20" s="448"/>
      <c r="Z20" s="448"/>
      <c r="AA20" s="448"/>
      <c r="AB20" s="448"/>
      <c r="AC20" s="448"/>
      <c r="AD20" s="448"/>
      <c r="AE20" s="444"/>
      <c r="AF20" s="444"/>
      <c r="AG20" s="444"/>
      <c r="AH20" s="444"/>
      <c r="AI20" s="444"/>
      <c r="AJ20" s="444"/>
      <c r="AK20" s="444"/>
      <c r="AL20" s="444"/>
      <c r="AM20" s="444"/>
      <c r="AN20" s="444"/>
      <c r="AO20" s="444"/>
      <c r="AP20" s="444"/>
    </row>
    <row r="21" spans="1:45" ht="20.100000000000001" customHeight="1" x14ac:dyDescent="0.4">
      <c r="B21" s="472">
        <v>5</v>
      </c>
      <c r="C21" s="452">
        <v>0.49305555555555558</v>
      </c>
      <c r="D21" s="452"/>
      <c r="E21" s="452"/>
      <c r="F21" s="443"/>
      <c r="G21" s="444"/>
      <c r="H21" s="444"/>
      <c r="I21" s="444"/>
      <c r="J21" s="445" t="str">
        <f t="shared" ref="J21" si="10">IFERROR(VLOOKUP(AR21,$C$5:$N$7,3,0),"")&amp;IFERROR(VLOOKUP(AR21,$Q$5:$AB$7,3,0),"")&amp;IFERROR(VLOOKUP(AR21,$AE$5:$AP$7,3,0),"")</f>
        <v>ＦＣグランディール</v>
      </c>
      <c r="K21" s="446"/>
      <c r="L21" s="446"/>
      <c r="M21" s="446"/>
      <c r="N21" s="446"/>
      <c r="O21" s="446"/>
      <c r="P21" s="446"/>
      <c r="Q21" s="450">
        <f t="shared" si="7"/>
        <v>1</v>
      </c>
      <c r="R21" s="450"/>
      <c r="S21" s="220">
        <v>1</v>
      </c>
      <c r="T21" s="221" t="s">
        <v>30</v>
      </c>
      <c r="U21" s="220">
        <v>0</v>
      </c>
      <c r="V21" s="450">
        <f t="shared" si="8"/>
        <v>1</v>
      </c>
      <c r="W21" s="450"/>
      <c r="X21" s="447" t="str">
        <f t="shared" ref="X21" si="11">IFERROR(VLOOKUP(AS21,$C$5:$N$7,3,0),"")&amp;IFERROR(VLOOKUP(AS21,$Q$5:$AB$7,3,0),"")&amp;IFERROR(VLOOKUP(AS21,$AE$5:$AP$7,3,0),"")</f>
        <v>ＦＣブロケード</v>
      </c>
      <c r="Y21" s="448"/>
      <c r="Z21" s="448"/>
      <c r="AA21" s="448"/>
      <c r="AB21" s="448"/>
      <c r="AC21" s="448"/>
      <c r="AD21" s="448"/>
      <c r="AE21" s="443"/>
      <c r="AF21" s="444"/>
      <c r="AG21" s="444"/>
      <c r="AH21" s="444"/>
      <c r="AI21" s="450" t="str">
        <f ca="1">DBCS(INDIRECT("U12対戦スケジュール!c"&amp;((ROW()-1)/2+13)))</f>
        <v>５／６／６／５</v>
      </c>
      <c r="AJ21" s="444"/>
      <c r="AK21" s="444"/>
      <c r="AL21" s="444"/>
      <c r="AM21" s="444"/>
      <c r="AN21" s="444"/>
      <c r="AO21" s="444"/>
      <c r="AP21" s="444"/>
      <c r="AR21" s="56">
        <v>2</v>
      </c>
      <c r="AS21" s="56">
        <v>3</v>
      </c>
    </row>
    <row r="22" spans="1:45" ht="20.100000000000001" customHeight="1" x14ac:dyDescent="0.4">
      <c r="B22" s="472"/>
      <c r="C22" s="452"/>
      <c r="D22" s="452"/>
      <c r="E22" s="452"/>
      <c r="F22" s="444"/>
      <c r="G22" s="444"/>
      <c r="H22" s="444"/>
      <c r="I22" s="444"/>
      <c r="J22" s="446"/>
      <c r="K22" s="446"/>
      <c r="L22" s="446"/>
      <c r="M22" s="446"/>
      <c r="N22" s="446"/>
      <c r="O22" s="446"/>
      <c r="P22" s="446"/>
      <c r="Q22" s="450"/>
      <c r="R22" s="450"/>
      <c r="S22" s="220">
        <v>0</v>
      </c>
      <c r="T22" s="221" t="s">
        <v>30</v>
      </c>
      <c r="U22" s="220">
        <v>1</v>
      </c>
      <c r="V22" s="450"/>
      <c r="W22" s="450"/>
      <c r="X22" s="448"/>
      <c r="Y22" s="448"/>
      <c r="Z22" s="448"/>
      <c r="AA22" s="448"/>
      <c r="AB22" s="448"/>
      <c r="AC22" s="448"/>
      <c r="AD22" s="448"/>
      <c r="AE22" s="444"/>
      <c r="AF22" s="444"/>
      <c r="AG22" s="444"/>
      <c r="AH22" s="444"/>
      <c r="AI22" s="444"/>
      <c r="AJ22" s="444"/>
      <c r="AK22" s="444"/>
      <c r="AL22" s="444"/>
      <c r="AM22" s="444"/>
      <c r="AN22" s="444"/>
      <c r="AO22" s="444"/>
      <c r="AP22" s="444"/>
    </row>
    <row r="23" spans="1:45" ht="20.100000000000001" customHeight="1" x14ac:dyDescent="0.4">
      <c r="B23" s="472">
        <v>6</v>
      </c>
      <c r="C23" s="452">
        <v>0.52777777777777779</v>
      </c>
      <c r="D23" s="452">
        <v>0.4375</v>
      </c>
      <c r="E23" s="452"/>
      <c r="F23" s="443"/>
      <c r="G23" s="444"/>
      <c r="H23" s="444"/>
      <c r="I23" s="444"/>
      <c r="J23" s="445" t="str">
        <f t="shared" ref="J23" si="12">IFERROR(VLOOKUP(AR23,$C$5:$N$7,3,0),"")&amp;IFERROR(VLOOKUP(AR23,$Q$5:$AB$7,3,0),"")&amp;IFERROR(VLOOKUP(AR23,$AE$5:$AP$7,3,0),"")</f>
        <v>ともぞうＳＣ U12</v>
      </c>
      <c r="K23" s="446"/>
      <c r="L23" s="446"/>
      <c r="M23" s="446"/>
      <c r="N23" s="446"/>
      <c r="O23" s="446"/>
      <c r="P23" s="446"/>
      <c r="Q23" s="450">
        <f t="shared" si="7"/>
        <v>0</v>
      </c>
      <c r="R23" s="450"/>
      <c r="S23" s="220">
        <v>0</v>
      </c>
      <c r="T23" s="221" t="s">
        <v>30</v>
      </c>
      <c r="U23" s="220">
        <v>1</v>
      </c>
      <c r="V23" s="450">
        <f t="shared" si="8"/>
        <v>3</v>
      </c>
      <c r="W23" s="450"/>
      <c r="X23" s="447" t="str">
        <f t="shared" ref="X23" si="13">IFERROR(VLOOKUP(AS23,$C$5:$N$7,3,0),"")&amp;IFERROR(VLOOKUP(AS23,$Q$5:$AB$7,3,0),"")&amp;IFERROR(VLOOKUP(AS23,$AE$5:$AP$7,3,0),"")</f>
        <v>ＦＣアネーロ･U-12</v>
      </c>
      <c r="Y23" s="448"/>
      <c r="Z23" s="448"/>
      <c r="AA23" s="448"/>
      <c r="AB23" s="448"/>
      <c r="AC23" s="448"/>
      <c r="AD23" s="448"/>
      <c r="AE23" s="443"/>
      <c r="AF23" s="444"/>
      <c r="AG23" s="444"/>
      <c r="AH23" s="444"/>
      <c r="AI23" s="450" t="str">
        <f ca="1">DBCS(INDIRECT("U12対戦スケジュール!c"&amp;((ROW()-1)/2+13)))</f>
        <v>２／３／３／２</v>
      </c>
      <c r="AJ23" s="444"/>
      <c r="AK23" s="444"/>
      <c r="AL23" s="444"/>
      <c r="AM23" s="444"/>
      <c r="AN23" s="444"/>
      <c r="AO23" s="444"/>
      <c r="AP23" s="444"/>
      <c r="AR23" s="56">
        <v>5</v>
      </c>
      <c r="AS23" s="56">
        <v>6</v>
      </c>
    </row>
    <row r="24" spans="1:45" ht="20.100000000000001" customHeight="1" x14ac:dyDescent="0.4">
      <c r="B24" s="472"/>
      <c r="C24" s="452"/>
      <c r="D24" s="452"/>
      <c r="E24" s="452"/>
      <c r="F24" s="444"/>
      <c r="G24" s="444"/>
      <c r="H24" s="444"/>
      <c r="I24" s="444"/>
      <c r="J24" s="446"/>
      <c r="K24" s="446"/>
      <c r="L24" s="446"/>
      <c r="M24" s="446"/>
      <c r="N24" s="446"/>
      <c r="O24" s="446"/>
      <c r="P24" s="446"/>
      <c r="Q24" s="450"/>
      <c r="R24" s="450"/>
      <c r="S24" s="220">
        <v>0</v>
      </c>
      <c r="T24" s="221" t="s">
        <v>30</v>
      </c>
      <c r="U24" s="220">
        <v>2</v>
      </c>
      <c r="V24" s="450"/>
      <c r="W24" s="450"/>
      <c r="X24" s="448"/>
      <c r="Y24" s="448"/>
      <c r="Z24" s="448"/>
      <c r="AA24" s="448"/>
      <c r="AB24" s="448"/>
      <c r="AC24" s="448"/>
      <c r="AD24" s="448"/>
      <c r="AE24" s="444"/>
      <c r="AF24" s="444"/>
      <c r="AG24" s="444"/>
      <c r="AH24" s="444"/>
      <c r="AI24" s="444"/>
      <c r="AJ24" s="444"/>
      <c r="AK24" s="444"/>
      <c r="AL24" s="444"/>
      <c r="AM24" s="444"/>
      <c r="AN24" s="444"/>
      <c r="AO24" s="444"/>
      <c r="AP24" s="444"/>
    </row>
    <row r="25" spans="1:45" ht="20.100000000000001" hidden="1" customHeight="1" thickBot="1" x14ac:dyDescent="0.45">
      <c r="B25" s="573">
        <v>7</v>
      </c>
      <c r="C25" s="535">
        <v>0.58333333333333304</v>
      </c>
      <c r="D25" s="541"/>
      <c r="E25" s="542"/>
      <c r="F25" s="547"/>
      <c r="G25" s="548"/>
      <c r="H25" s="548"/>
      <c r="I25" s="549"/>
      <c r="J25" s="553" t="str">
        <f>IFERROR(VLOOKUP(AR25,$C$5:$N$7,3,0),"")&amp;IFERROR(VLOOKUP(AR25,$Q$5:$AB$7,3,0),"")&amp;IFERROR(VLOOKUP(AR25,$AE$5:$AP$7,3,0),"")</f>
        <v/>
      </c>
      <c r="K25" s="554"/>
      <c r="L25" s="554"/>
      <c r="M25" s="554"/>
      <c r="N25" s="554"/>
      <c r="O25" s="554"/>
      <c r="P25" s="555"/>
      <c r="Q25" s="563" t="str">
        <f>IF(OR(S25="",S26=""),"",S25+S26)</f>
        <v/>
      </c>
      <c r="R25" s="564"/>
      <c r="S25" s="228"/>
      <c r="T25" s="229" t="s">
        <v>30</v>
      </c>
      <c r="U25" s="228"/>
      <c r="V25" s="563" t="str">
        <f>IF(OR(U25="",U26=""),"",U25+U26)</f>
        <v/>
      </c>
      <c r="W25" s="564"/>
      <c r="X25" s="559" t="str">
        <f>IFERROR(VLOOKUP(AS25,$C$5:$N$7,3,0),"")&amp;IFERROR(VLOOKUP(AS25,$Q$5:$AB$7,3,0),"")&amp;IFERROR(VLOOKUP(AS25,$AE$5:$AP$7,3,0),"")</f>
        <v/>
      </c>
      <c r="Y25" s="554"/>
      <c r="Z25" s="554"/>
      <c r="AA25" s="554"/>
      <c r="AB25" s="554"/>
      <c r="AC25" s="554"/>
      <c r="AD25" s="560"/>
      <c r="AE25" s="547"/>
      <c r="AF25" s="548"/>
      <c r="AG25" s="548"/>
      <c r="AH25" s="549"/>
      <c r="AI25" s="567" t="str">
        <f ca="1">DBCS(INDIRECT("U12対戦スケジュール!c"&amp;((ROW()-1)/2+13)))</f>
        <v/>
      </c>
      <c r="AJ25" s="568"/>
      <c r="AK25" s="568"/>
      <c r="AL25" s="568"/>
      <c r="AM25" s="568"/>
      <c r="AN25" s="568"/>
      <c r="AO25" s="568"/>
      <c r="AP25" s="569"/>
    </row>
    <row r="26" spans="1:45" ht="20.100000000000001" hidden="1" customHeight="1" thickBot="1" x14ac:dyDescent="0.45">
      <c r="B26" s="574"/>
      <c r="C26" s="543"/>
      <c r="D26" s="544"/>
      <c r="E26" s="545"/>
      <c r="F26" s="550"/>
      <c r="G26" s="551"/>
      <c r="H26" s="551"/>
      <c r="I26" s="552"/>
      <c r="J26" s="556"/>
      <c r="K26" s="557"/>
      <c r="L26" s="557"/>
      <c r="M26" s="557"/>
      <c r="N26" s="557"/>
      <c r="O26" s="557"/>
      <c r="P26" s="558"/>
      <c r="Q26" s="565"/>
      <c r="R26" s="566"/>
      <c r="S26" s="67"/>
      <c r="T26" s="131" t="s">
        <v>30</v>
      </c>
      <c r="U26" s="67"/>
      <c r="V26" s="565"/>
      <c r="W26" s="566"/>
      <c r="X26" s="561"/>
      <c r="Y26" s="557"/>
      <c r="Z26" s="557"/>
      <c r="AA26" s="557"/>
      <c r="AB26" s="557"/>
      <c r="AC26" s="557"/>
      <c r="AD26" s="562"/>
      <c r="AE26" s="550"/>
      <c r="AF26" s="551"/>
      <c r="AG26" s="551"/>
      <c r="AH26" s="552"/>
      <c r="AI26" s="570"/>
      <c r="AJ26" s="571"/>
      <c r="AK26" s="571"/>
      <c r="AL26" s="571"/>
      <c r="AM26" s="571"/>
      <c r="AN26" s="571"/>
      <c r="AO26" s="571"/>
      <c r="AP26" s="572"/>
    </row>
    <row r="27" spans="1:45" s="55" customFormat="1" ht="15.75" customHeight="1" x14ac:dyDescent="0.4">
      <c r="A27" s="58"/>
      <c r="B27" s="59"/>
      <c r="C27" s="60"/>
      <c r="D27" s="60"/>
      <c r="E27" s="60"/>
      <c r="F27" s="59"/>
      <c r="G27" s="59"/>
      <c r="H27" s="59"/>
      <c r="I27" s="59"/>
      <c r="J27" s="59"/>
      <c r="K27" s="61"/>
      <c r="L27" s="61"/>
      <c r="M27" s="62"/>
      <c r="N27" s="63"/>
      <c r="O27" s="62"/>
      <c r="P27" s="61"/>
      <c r="Q27" s="61"/>
      <c r="R27" s="59"/>
      <c r="S27" s="59"/>
      <c r="T27" s="59"/>
      <c r="U27" s="59"/>
      <c r="V27" s="59"/>
      <c r="W27" s="66"/>
      <c r="X27" s="66"/>
      <c r="Y27" s="66"/>
      <c r="Z27" s="66"/>
      <c r="AA27" s="66"/>
      <c r="AB27" s="66"/>
      <c r="AC27" s="58"/>
    </row>
    <row r="28" spans="1:45" ht="20.25" customHeight="1" x14ac:dyDescent="0.4">
      <c r="D28" s="477" t="s">
        <v>31</v>
      </c>
      <c r="E28" s="477"/>
      <c r="F28" s="477"/>
      <c r="G28" s="477"/>
      <c r="H28" s="477"/>
      <c r="I28" s="477"/>
      <c r="J28" s="477" t="s">
        <v>27</v>
      </c>
      <c r="K28" s="477"/>
      <c r="L28" s="477"/>
      <c r="M28" s="477"/>
      <c r="N28" s="477"/>
      <c r="O28" s="477"/>
      <c r="P28" s="477"/>
      <c r="Q28" s="477"/>
      <c r="R28" s="478" t="s">
        <v>32</v>
      </c>
      <c r="S28" s="478"/>
      <c r="T28" s="478"/>
      <c r="U28" s="478"/>
      <c r="V28" s="478"/>
      <c r="W28" s="478"/>
      <c r="X28" s="478"/>
      <c r="Y28" s="478"/>
      <c r="Z28" s="478"/>
      <c r="AA28" s="479" t="s">
        <v>33</v>
      </c>
      <c r="AB28" s="479"/>
      <c r="AC28" s="479"/>
      <c r="AD28" s="479" t="s">
        <v>34</v>
      </c>
      <c r="AE28" s="479"/>
      <c r="AF28" s="479"/>
      <c r="AG28" s="479"/>
      <c r="AH28" s="479"/>
      <c r="AI28" s="479"/>
      <c r="AJ28" s="479"/>
      <c r="AK28" s="479"/>
      <c r="AL28" s="479"/>
      <c r="AM28" s="479"/>
    </row>
    <row r="29" spans="1:45" ht="30" customHeight="1" x14ac:dyDescent="0.4">
      <c r="D29" s="477" t="s">
        <v>35</v>
      </c>
      <c r="E29" s="477"/>
      <c r="F29" s="477"/>
      <c r="G29" s="477"/>
      <c r="H29" s="477"/>
      <c r="I29" s="477"/>
      <c r="J29" s="477"/>
      <c r="K29" s="477"/>
      <c r="L29" s="477"/>
      <c r="M29" s="477"/>
      <c r="N29" s="477"/>
      <c r="O29" s="477"/>
      <c r="P29" s="477"/>
      <c r="Q29" s="477"/>
      <c r="R29" s="478"/>
      <c r="S29" s="478"/>
      <c r="T29" s="478"/>
      <c r="U29" s="478"/>
      <c r="V29" s="478"/>
      <c r="W29" s="478"/>
      <c r="X29" s="478"/>
      <c r="Y29" s="478"/>
      <c r="Z29" s="478"/>
      <c r="AA29" s="481"/>
      <c r="AB29" s="481"/>
      <c r="AC29" s="481"/>
      <c r="AD29" s="480"/>
      <c r="AE29" s="480"/>
      <c r="AF29" s="480"/>
      <c r="AG29" s="480"/>
      <c r="AH29" s="480"/>
      <c r="AI29" s="480"/>
      <c r="AJ29" s="480"/>
      <c r="AK29" s="480"/>
      <c r="AL29" s="480"/>
      <c r="AM29" s="480"/>
    </row>
    <row r="30" spans="1:45" ht="30" customHeight="1" x14ac:dyDescent="0.4">
      <c r="D30" s="477" t="s">
        <v>35</v>
      </c>
      <c r="E30" s="477"/>
      <c r="F30" s="477"/>
      <c r="G30" s="477"/>
      <c r="H30" s="477"/>
      <c r="I30" s="477"/>
      <c r="J30" s="477"/>
      <c r="K30" s="477"/>
      <c r="L30" s="477"/>
      <c r="M30" s="477"/>
      <c r="N30" s="477"/>
      <c r="O30" s="477"/>
      <c r="P30" s="477"/>
      <c r="Q30" s="477"/>
      <c r="R30" s="478"/>
      <c r="S30" s="478"/>
      <c r="T30" s="478"/>
      <c r="U30" s="478"/>
      <c r="V30" s="478"/>
      <c r="W30" s="478"/>
      <c r="X30" s="478"/>
      <c r="Y30" s="478"/>
      <c r="Z30" s="478"/>
      <c r="AA30" s="479"/>
      <c r="AB30" s="479"/>
      <c r="AC30" s="479"/>
      <c r="AD30" s="480"/>
      <c r="AE30" s="480"/>
      <c r="AF30" s="480"/>
      <c r="AG30" s="480"/>
      <c r="AH30" s="480"/>
      <c r="AI30" s="480"/>
      <c r="AJ30" s="480"/>
      <c r="AK30" s="480"/>
      <c r="AL30" s="480"/>
      <c r="AM30" s="480"/>
    </row>
    <row r="31" spans="1:45" ht="30" customHeight="1" x14ac:dyDescent="0.4">
      <c r="D31" s="477" t="s">
        <v>35</v>
      </c>
      <c r="E31" s="477"/>
      <c r="F31" s="477"/>
      <c r="G31" s="477"/>
      <c r="H31" s="477"/>
      <c r="I31" s="477"/>
      <c r="J31" s="477"/>
      <c r="K31" s="477"/>
      <c r="L31" s="477"/>
      <c r="M31" s="477"/>
      <c r="N31" s="477"/>
      <c r="O31" s="477"/>
      <c r="P31" s="477"/>
      <c r="Q31" s="477"/>
      <c r="R31" s="478"/>
      <c r="S31" s="478"/>
      <c r="T31" s="478"/>
      <c r="U31" s="478"/>
      <c r="V31" s="478"/>
      <c r="W31" s="478"/>
      <c r="X31" s="478"/>
      <c r="Y31" s="478"/>
      <c r="Z31" s="478"/>
      <c r="AA31" s="479"/>
      <c r="AB31" s="479"/>
      <c r="AC31" s="479"/>
      <c r="AD31" s="480"/>
      <c r="AE31" s="480"/>
      <c r="AF31" s="480"/>
      <c r="AG31" s="480"/>
      <c r="AH31" s="480"/>
      <c r="AI31" s="480"/>
      <c r="AJ31" s="480"/>
      <c r="AK31" s="480"/>
      <c r="AL31" s="480"/>
      <c r="AM31" s="480"/>
    </row>
    <row r="32" spans="1:45" ht="14.25" customHeight="1" x14ac:dyDescent="0.4">
      <c r="A32" s="451" t="s">
        <v>565</v>
      </c>
      <c r="B32" s="451"/>
      <c r="C32" s="451"/>
      <c r="D32" s="451"/>
      <c r="E32" s="451"/>
      <c r="F32" s="451"/>
      <c r="G32" s="451"/>
      <c r="H32" s="451"/>
      <c r="I32" s="451"/>
      <c r="J32" s="451"/>
      <c r="K32" s="451"/>
      <c r="L32" s="451"/>
      <c r="M32" s="451"/>
      <c r="N32" s="451"/>
      <c r="O32" s="451"/>
      <c r="P32" s="451"/>
      <c r="Q32" s="451"/>
      <c r="R32" s="451"/>
      <c r="S32" s="451"/>
      <c r="T32" s="451"/>
      <c r="U32" s="451"/>
      <c r="V32" s="451"/>
      <c r="W32" s="451"/>
      <c r="X32" s="451"/>
      <c r="Y32" s="451"/>
      <c r="Z32" s="451"/>
      <c r="AA32" s="451"/>
      <c r="AB32" s="451"/>
      <c r="AC32" s="451"/>
      <c r="AD32" s="451"/>
      <c r="AE32" s="451"/>
      <c r="AF32" s="451"/>
      <c r="AG32" s="451"/>
      <c r="AH32" s="451"/>
      <c r="AI32" s="451"/>
      <c r="AJ32" s="451"/>
      <c r="AK32" s="451"/>
      <c r="AL32" s="451"/>
      <c r="AM32" s="451"/>
      <c r="AN32" s="451"/>
      <c r="AO32" s="451"/>
      <c r="AP32" s="451"/>
      <c r="AQ32" s="451"/>
      <c r="AR32" s="142"/>
      <c r="AS32" s="142"/>
    </row>
    <row r="33" spans="1:45" ht="14.25" customHeight="1" x14ac:dyDescent="0.4">
      <c r="A33" s="451"/>
      <c r="B33" s="451"/>
      <c r="C33" s="451"/>
      <c r="D33" s="451"/>
      <c r="E33" s="451"/>
      <c r="F33" s="451"/>
      <c r="G33" s="451"/>
      <c r="H33" s="451"/>
      <c r="I33" s="451"/>
      <c r="J33" s="451"/>
      <c r="K33" s="451"/>
      <c r="L33" s="451"/>
      <c r="M33" s="451"/>
      <c r="N33" s="451"/>
      <c r="O33" s="451"/>
      <c r="P33" s="451"/>
      <c r="Q33" s="451"/>
      <c r="R33" s="451"/>
      <c r="S33" s="451"/>
      <c r="T33" s="451"/>
      <c r="U33" s="451"/>
      <c r="V33" s="451"/>
      <c r="W33" s="451"/>
      <c r="X33" s="451"/>
      <c r="Y33" s="451"/>
      <c r="Z33" s="451"/>
      <c r="AA33" s="451"/>
      <c r="AB33" s="451"/>
      <c r="AC33" s="451"/>
      <c r="AD33" s="451"/>
      <c r="AE33" s="451"/>
      <c r="AF33" s="451"/>
      <c r="AG33" s="451"/>
      <c r="AH33" s="451"/>
      <c r="AI33" s="451"/>
      <c r="AJ33" s="451"/>
      <c r="AK33" s="451"/>
      <c r="AL33" s="451"/>
      <c r="AM33" s="451"/>
      <c r="AN33" s="451"/>
      <c r="AO33" s="451"/>
      <c r="AP33" s="451"/>
      <c r="AQ33" s="451"/>
      <c r="AR33" s="142"/>
      <c r="AS33" s="142"/>
    </row>
    <row r="34" spans="1:45" ht="27.75" customHeight="1" x14ac:dyDescent="0.4">
      <c r="C34" s="460" t="s">
        <v>8</v>
      </c>
      <c r="D34" s="460"/>
      <c r="E34" s="460"/>
      <c r="F34" s="460"/>
      <c r="G34" s="482" t="str">
        <f>U12対戦スケジュール!B39</f>
        <v>石井緑地 No.２</v>
      </c>
      <c r="H34" s="483"/>
      <c r="I34" s="483"/>
      <c r="J34" s="483"/>
      <c r="K34" s="483"/>
      <c r="L34" s="483"/>
      <c r="M34" s="483"/>
      <c r="N34" s="483"/>
      <c r="O34" s="483"/>
      <c r="P34" s="460" t="s">
        <v>0</v>
      </c>
      <c r="Q34" s="460"/>
      <c r="R34" s="460"/>
      <c r="S34" s="460"/>
      <c r="T34" s="482" t="str">
        <f>U12対戦スケジュール!B40</f>
        <v>緑が丘ＹＦＣ</v>
      </c>
      <c r="U34" s="483"/>
      <c r="V34" s="483"/>
      <c r="W34" s="483"/>
      <c r="X34" s="483"/>
      <c r="Y34" s="483"/>
      <c r="Z34" s="483"/>
      <c r="AA34" s="483"/>
      <c r="AB34" s="483"/>
      <c r="AC34" s="460" t="s">
        <v>9</v>
      </c>
      <c r="AD34" s="460"/>
      <c r="AE34" s="460"/>
      <c r="AF34" s="460"/>
      <c r="AG34" s="484">
        <f>U12組合せ!$B32</f>
        <v>43737</v>
      </c>
      <c r="AH34" s="485"/>
      <c r="AI34" s="485"/>
      <c r="AJ34" s="485"/>
      <c r="AK34" s="485"/>
      <c r="AL34" s="485"/>
      <c r="AM34" s="488" t="str">
        <f>"（"&amp;TEXT(AG34,"aaa")&amp;"）"</f>
        <v>（日）</v>
      </c>
      <c r="AN34" s="488"/>
      <c r="AO34" s="489"/>
    </row>
    <row r="35" spans="1:45" ht="15" customHeight="1" x14ac:dyDescent="0.4"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64"/>
      <c r="X35" s="64"/>
      <c r="Y35" s="64"/>
      <c r="Z35" s="64"/>
      <c r="AA35" s="64"/>
      <c r="AB35" s="64"/>
      <c r="AC35" s="64"/>
    </row>
    <row r="36" spans="1:45" ht="18" customHeight="1" x14ac:dyDescent="0.4">
      <c r="C36" s="475">
        <v>1</v>
      </c>
      <c r="D36" s="475"/>
      <c r="E36" s="476" t="str">
        <f>U12組合せ!$H$14</f>
        <v>清原ＳＳＳ</v>
      </c>
      <c r="F36" s="476"/>
      <c r="G36" s="476"/>
      <c r="H36" s="476"/>
      <c r="I36" s="476"/>
      <c r="J36" s="476"/>
      <c r="K36" s="476"/>
      <c r="L36" s="476"/>
      <c r="M36" s="476"/>
      <c r="N36" s="476"/>
      <c r="O36" s="58"/>
      <c r="P36" s="58"/>
      <c r="Q36" s="475">
        <v>2</v>
      </c>
      <c r="R36" s="475"/>
      <c r="S36" s="476" t="str">
        <f>U12組合せ!$H$15</f>
        <v>ＦＣグランディール</v>
      </c>
      <c r="T36" s="476"/>
      <c r="U36" s="476"/>
      <c r="V36" s="476"/>
      <c r="W36" s="476"/>
      <c r="X36" s="476"/>
      <c r="Y36" s="476"/>
      <c r="Z36" s="476"/>
      <c r="AA36" s="476"/>
      <c r="AB36" s="476"/>
      <c r="AC36" s="68"/>
      <c r="AD36" s="55"/>
      <c r="AE36" s="475">
        <v>3</v>
      </c>
      <c r="AF36" s="475"/>
      <c r="AG36" s="476" t="str">
        <f>U12組合せ!$H$16</f>
        <v>ＦＣブロケード</v>
      </c>
      <c r="AH36" s="476"/>
      <c r="AI36" s="476"/>
      <c r="AJ36" s="476"/>
      <c r="AK36" s="476"/>
      <c r="AL36" s="476"/>
      <c r="AM36" s="476"/>
      <c r="AN36" s="476"/>
      <c r="AO36" s="476"/>
      <c r="AP36" s="476"/>
    </row>
    <row r="37" spans="1:45" ht="18" customHeight="1" x14ac:dyDescent="0.4">
      <c r="C37" s="475">
        <v>4</v>
      </c>
      <c r="D37" s="475"/>
      <c r="E37" s="476" t="str">
        <f>U12組合せ!$H$17</f>
        <v>緑が丘ＹＦＣ</v>
      </c>
      <c r="F37" s="476"/>
      <c r="G37" s="476"/>
      <c r="H37" s="476"/>
      <c r="I37" s="476"/>
      <c r="J37" s="476"/>
      <c r="K37" s="476"/>
      <c r="L37" s="476"/>
      <c r="M37" s="476"/>
      <c r="N37" s="476"/>
      <c r="O37" s="58"/>
      <c r="P37" s="58"/>
      <c r="Q37" s="475">
        <v>5</v>
      </c>
      <c r="R37" s="475"/>
      <c r="S37" s="476" t="str">
        <f>U12組合せ!$H$18</f>
        <v>ともぞうＳＣ U12</v>
      </c>
      <c r="T37" s="476"/>
      <c r="U37" s="476"/>
      <c r="V37" s="476"/>
      <c r="W37" s="476"/>
      <c r="X37" s="476"/>
      <c r="Y37" s="476"/>
      <c r="Z37" s="476"/>
      <c r="AA37" s="476"/>
      <c r="AB37" s="476"/>
      <c r="AC37" s="68"/>
      <c r="AD37" s="55"/>
      <c r="AE37" s="475">
        <v>6</v>
      </c>
      <c r="AF37" s="475"/>
      <c r="AG37" s="476" t="str">
        <f>U12組合せ!$H$19</f>
        <v>ＦＣアネーロ･U-12</v>
      </c>
      <c r="AH37" s="476"/>
      <c r="AI37" s="476"/>
      <c r="AJ37" s="476"/>
      <c r="AK37" s="476"/>
      <c r="AL37" s="476"/>
      <c r="AM37" s="476"/>
      <c r="AN37" s="476"/>
      <c r="AO37" s="476"/>
      <c r="AP37" s="476"/>
    </row>
    <row r="38" spans="1:45" ht="18" customHeight="1" x14ac:dyDescent="0.4">
      <c r="C38" s="577">
        <v>7</v>
      </c>
      <c r="D38" s="577"/>
      <c r="E38" s="578" t="str">
        <f>U12組合せ!$H$20</f>
        <v>細谷サッカークラブ</v>
      </c>
      <c r="F38" s="578"/>
      <c r="G38" s="578"/>
      <c r="H38" s="578"/>
      <c r="I38" s="578"/>
      <c r="J38" s="578"/>
      <c r="K38" s="578"/>
      <c r="L38" s="578"/>
      <c r="M38" s="578"/>
      <c r="N38" s="578"/>
      <c r="O38" s="58"/>
      <c r="P38" s="58"/>
      <c r="Q38" s="577">
        <v>8</v>
      </c>
      <c r="R38" s="577"/>
      <c r="S38" s="578" t="str">
        <f>U12組合せ!$H$21</f>
        <v>ＦＣ Ｒｉｓｏ</v>
      </c>
      <c r="T38" s="578"/>
      <c r="U38" s="578"/>
      <c r="V38" s="578"/>
      <c r="W38" s="578"/>
      <c r="X38" s="578"/>
      <c r="Y38" s="578"/>
      <c r="Z38" s="578"/>
      <c r="AA38" s="578"/>
      <c r="AB38" s="578"/>
      <c r="AC38" s="68"/>
      <c r="AD38" s="55"/>
      <c r="AE38" s="577">
        <v>9</v>
      </c>
      <c r="AF38" s="577"/>
      <c r="AG38" s="578" t="str">
        <f>U12組合せ!$H$22</f>
        <v>上三川ＦＣ</v>
      </c>
      <c r="AH38" s="578"/>
      <c r="AI38" s="578"/>
      <c r="AJ38" s="578"/>
      <c r="AK38" s="578"/>
      <c r="AL38" s="578"/>
      <c r="AM38" s="578"/>
      <c r="AN38" s="578"/>
      <c r="AO38" s="578"/>
      <c r="AP38" s="578"/>
    </row>
    <row r="39" spans="1:45" ht="18" customHeight="1" x14ac:dyDescent="0.4">
      <c r="C39" s="475"/>
      <c r="D39" s="475"/>
      <c r="E39" s="476"/>
      <c r="F39" s="476"/>
      <c r="G39" s="476"/>
      <c r="H39" s="476"/>
      <c r="I39" s="476"/>
      <c r="J39" s="476"/>
      <c r="K39" s="476"/>
      <c r="L39" s="476"/>
      <c r="M39" s="476"/>
      <c r="N39" s="476"/>
      <c r="O39" s="58"/>
      <c r="P39" s="58"/>
      <c r="Q39" s="475"/>
      <c r="R39" s="475"/>
      <c r="S39" s="476"/>
      <c r="T39" s="476"/>
      <c r="U39" s="476"/>
      <c r="V39" s="476"/>
      <c r="W39" s="476"/>
      <c r="X39" s="476"/>
      <c r="Y39" s="476"/>
      <c r="Z39" s="476"/>
      <c r="AA39" s="476"/>
      <c r="AB39" s="476"/>
      <c r="AC39" s="68"/>
      <c r="AD39" s="55"/>
      <c r="AE39" s="475"/>
      <c r="AF39" s="475"/>
      <c r="AG39" s="476"/>
      <c r="AH39" s="476"/>
      <c r="AI39" s="476"/>
      <c r="AJ39" s="476"/>
      <c r="AK39" s="476"/>
      <c r="AL39" s="476"/>
      <c r="AM39" s="476"/>
      <c r="AN39" s="476"/>
      <c r="AO39" s="476"/>
      <c r="AP39" s="476"/>
    </row>
    <row r="40" spans="1:45" ht="18" customHeight="1" x14ac:dyDescent="0.4">
      <c r="B40" s="57"/>
      <c r="C40" s="475"/>
      <c r="D40" s="475"/>
      <c r="E40" s="476"/>
      <c r="F40" s="476"/>
      <c r="G40" s="476"/>
      <c r="H40" s="476"/>
      <c r="I40" s="476"/>
      <c r="J40" s="476"/>
      <c r="K40" s="476"/>
      <c r="L40" s="476"/>
      <c r="M40" s="476"/>
      <c r="N40" s="476"/>
      <c r="O40" s="58"/>
      <c r="P40" s="58"/>
      <c r="Q40" s="475"/>
      <c r="R40" s="475"/>
      <c r="S40" s="476"/>
      <c r="T40" s="476"/>
      <c r="U40" s="476"/>
      <c r="V40" s="476"/>
      <c r="W40" s="476"/>
      <c r="X40" s="476"/>
      <c r="Y40" s="476"/>
      <c r="Z40" s="476"/>
      <c r="AA40" s="476"/>
      <c r="AB40" s="476"/>
      <c r="AC40" s="68"/>
      <c r="AD40" s="55"/>
      <c r="AE40" s="475"/>
      <c r="AF40" s="475"/>
      <c r="AG40" s="476"/>
      <c r="AH40" s="476"/>
      <c r="AI40" s="476"/>
      <c r="AJ40" s="476"/>
      <c r="AK40" s="476"/>
      <c r="AL40" s="476"/>
      <c r="AM40" s="476"/>
      <c r="AN40" s="476"/>
      <c r="AO40" s="476"/>
      <c r="AP40" s="476"/>
      <c r="AQ40" s="57"/>
      <c r="AR40" s="57"/>
      <c r="AS40" s="57"/>
    </row>
    <row r="41" spans="1:45" ht="18" customHeight="1" x14ac:dyDescent="0.4">
      <c r="C41" s="524"/>
      <c r="D41" s="524"/>
      <c r="E41" s="546"/>
      <c r="F41" s="546"/>
      <c r="G41" s="546"/>
      <c r="H41" s="546"/>
      <c r="I41" s="546"/>
      <c r="J41" s="546"/>
      <c r="K41" s="546"/>
      <c r="L41" s="546"/>
      <c r="M41" s="546"/>
      <c r="N41" s="546"/>
      <c r="O41" s="58"/>
      <c r="P41" s="58"/>
      <c r="Q41" s="524"/>
      <c r="R41" s="524"/>
      <c r="S41" s="546"/>
      <c r="T41" s="546"/>
      <c r="U41" s="546"/>
      <c r="V41" s="546"/>
      <c r="W41" s="546"/>
      <c r="X41" s="546"/>
      <c r="Y41" s="546"/>
      <c r="Z41" s="546"/>
      <c r="AA41" s="546"/>
      <c r="AB41" s="546"/>
      <c r="AC41" s="68"/>
      <c r="AD41" s="58"/>
      <c r="AE41" s="524"/>
      <c r="AF41" s="524"/>
      <c r="AG41" s="546"/>
      <c r="AH41" s="546"/>
      <c r="AI41" s="546"/>
      <c r="AJ41" s="546"/>
      <c r="AK41" s="546"/>
      <c r="AL41" s="546"/>
      <c r="AM41" s="546"/>
      <c r="AN41" s="546"/>
      <c r="AO41" s="546"/>
      <c r="AP41" s="546"/>
    </row>
    <row r="42" spans="1:45" ht="21" customHeight="1" x14ac:dyDescent="0.4">
      <c r="B42" s="56" t="s">
        <v>568</v>
      </c>
    </row>
    <row r="43" spans="1:45" ht="20.25" customHeight="1" x14ac:dyDescent="0.4">
      <c r="B43" s="219"/>
      <c r="C43" s="456" t="s">
        <v>25</v>
      </c>
      <c r="D43" s="456"/>
      <c r="E43" s="456"/>
      <c r="F43" s="458" t="s">
        <v>26</v>
      </c>
      <c r="G43" s="459"/>
      <c r="H43" s="459"/>
      <c r="I43" s="459"/>
      <c r="J43" s="456" t="s">
        <v>27</v>
      </c>
      <c r="K43" s="457"/>
      <c r="L43" s="457"/>
      <c r="M43" s="457"/>
      <c r="N43" s="457"/>
      <c r="O43" s="457"/>
      <c r="P43" s="457"/>
      <c r="Q43" s="456" t="s">
        <v>540</v>
      </c>
      <c r="R43" s="456"/>
      <c r="S43" s="456"/>
      <c r="T43" s="456"/>
      <c r="U43" s="456"/>
      <c r="V43" s="456"/>
      <c r="W43" s="456"/>
      <c r="X43" s="456" t="s">
        <v>27</v>
      </c>
      <c r="Y43" s="457"/>
      <c r="Z43" s="457"/>
      <c r="AA43" s="457"/>
      <c r="AB43" s="457"/>
      <c r="AC43" s="457"/>
      <c r="AD43" s="457"/>
      <c r="AE43" s="458" t="s">
        <v>26</v>
      </c>
      <c r="AF43" s="459"/>
      <c r="AG43" s="459"/>
      <c r="AH43" s="459"/>
      <c r="AI43" s="456" t="s">
        <v>29</v>
      </c>
      <c r="AJ43" s="456"/>
      <c r="AK43" s="457"/>
      <c r="AL43" s="457"/>
      <c r="AM43" s="457"/>
      <c r="AN43" s="457"/>
      <c r="AO43" s="457"/>
      <c r="AP43" s="457"/>
    </row>
    <row r="44" spans="1:45" ht="20.100000000000001" customHeight="1" x14ac:dyDescent="0.4">
      <c r="B44" s="472">
        <v>1</v>
      </c>
      <c r="C44" s="452">
        <v>0.35416666666666669</v>
      </c>
      <c r="D44" s="452"/>
      <c r="E44" s="452"/>
      <c r="F44" s="443"/>
      <c r="G44" s="444"/>
      <c r="H44" s="444"/>
      <c r="I44" s="444"/>
      <c r="J44" s="445" t="str">
        <f>IFERROR(VLOOKUP(AR44,$C$36:$N$38,3,0),"")&amp;IFERROR(VLOOKUP(AR44,$Q$36:$AB$38,3,0),"")&amp;IFERROR(VLOOKUP(AR44,$AE$36:$AP$38,3,0),"")</f>
        <v>上三川ＦＣ</v>
      </c>
      <c r="K44" s="446"/>
      <c r="L44" s="446"/>
      <c r="M44" s="446"/>
      <c r="N44" s="446"/>
      <c r="O44" s="446"/>
      <c r="P44" s="446"/>
      <c r="Q44" s="450">
        <f t="shared" ref="Q44:Q48" si="14">IF(OR(S44="",S45=""),"",S44+S45)</f>
        <v>1</v>
      </c>
      <c r="R44" s="450"/>
      <c r="S44" s="220">
        <v>0</v>
      </c>
      <c r="T44" s="221" t="s">
        <v>30</v>
      </c>
      <c r="U44" s="220">
        <v>0</v>
      </c>
      <c r="V44" s="450">
        <f t="shared" ref="V44:V48" si="15">IF(OR(U44="",U45=""),"",U44+U45)</f>
        <v>0</v>
      </c>
      <c r="W44" s="450"/>
      <c r="X44" s="447" t="str">
        <f>IFERROR(VLOOKUP(AS44,$C$36:$N$38,3,0),"")&amp;IFERROR(VLOOKUP(AS44,$Q$36:$AB$38,3,0),"")&amp;IFERROR(VLOOKUP(AS44,$AE$36:$AP$38,3,0),"")</f>
        <v>ＦＣブロケード</v>
      </c>
      <c r="Y44" s="448"/>
      <c r="Z44" s="448"/>
      <c r="AA44" s="448"/>
      <c r="AB44" s="448"/>
      <c r="AC44" s="448"/>
      <c r="AD44" s="448"/>
      <c r="AE44" s="443"/>
      <c r="AF44" s="444"/>
      <c r="AG44" s="444"/>
      <c r="AH44" s="444"/>
      <c r="AI44" s="450" t="str">
        <f ca="1">DBCS(INDIRECT("U12対戦スケジュール!c"&amp;(ROW()/2+19)))</f>
        <v>７／１／１／７</v>
      </c>
      <c r="AJ44" s="444"/>
      <c r="AK44" s="444"/>
      <c r="AL44" s="444"/>
      <c r="AM44" s="444"/>
      <c r="AN44" s="444"/>
      <c r="AO44" s="444"/>
      <c r="AP44" s="444"/>
      <c r="AR44" s="56">
        <v>9</v>
      </c>
      <c r="AS44" s="56">
        <v>3</v>
      </c>
    </row>
    <row r="45" spans="1:45" ht="20.100000000000001" customHeight="1" x14ac:dyDescent="0.4">
      <c r="B45" s="472"/>
      <c r="C45" s="452"/>
      <c r="D45" s="452"/>
      <c r="E45" s="452"/>
      <c r="F45" s="444"/>
      <c r="G45" s="444"/>
      <c r="H45" s="444"/>
      <c r="I45" s="444"/>
      <c r="J45" s="446"/>
      <c r="K45" s="446"/>
      <c r="L45" s="446"/>
      <c r="M45" s="446"/>
      <c r="N45" s="446"/>
      <c r="O45" s="446"/>
      <c r="P45" s="446"/>
      <c r="Q45" s="450"/>
      <c r="R45" s="450"/>
      <c r="S45" s="220">
        <v>1</v>
      </c>
      <c r="T45" s="221" t="s">
        <v>30</v>
      </c>
      <c r="U45" s="220">
        <v>0</v>
      </c>
      <c r="V45" s="450"/>
      <c r="W45" s="450"/>
      <c r="X45" s="448"/>
      <c r="Y45" s="448"/>
      <c r="Z45" s="448"/>
      <c r="AA45" s="448"/>
      <c r="AB45" s="448"/>
      <c r="AC45" s="448"/>
      <c r="AD45" s="448"/>
      <c r="AE45" s="444"/>
      <c r="AF45" s="444"/>
      <c r="AG45" s="444"/>
      <c r="AH45" s="444"/>
      <c r="AI45" s="444"/>
      <c r="AJ45" s="444"/>
      <c r="AK45" s="444"/>
      <c r="AL45" s="444"/>
      <c r="AM45" s="444"/>
      <c r="AN45" s="444"/>
      <c r="AO45" s="444"/>
      <c r="AP45" s="444"/>
    </row>
    <row r="46" spans="1:45" ht="20.100000000000001" customHeight="1" x14ac:dyDescent="0.4">
      <c r="B46" s="472">
        <v>2</v>
      </c>
      <c r="C46" s="452">
        <v>0.3888888888888889</v>
      </c>
      <c r="D46" s="452">
        <v>0.4375</v>
      </c>
      <c r="E46" s="452"/>
      <c r="F46" s="443"/>
      <c r="G46" s="444"/>
      <c r="H46" s="444"/>
      <c r="I46" s="444"/>
      <c r="J46" s="445" t="str">
        <f t="shared" ref="J46" si="16">IFERROR(VLOOKUP(AR46,$C$36:$N$38,3,0),"")&amp;IFERROR(VLOOKUP(AR46,$Q$36:$AB$38,3,0),"")&amp;IFERROR(VLOOKUP(AR46,$AE$36:$AP$38,3,0),"")</f>
        <v>細谷サッカークラブ</v>
      </c>
      <c r="K46" s="446"/>
      <c r="L46" s="446"/>
      <c r="M46" s="446"/>
      <c r="N46" s="446"/>
      <c r="O46" s="446"/>
      <c r="P46" s="446"/>
      <c r="Q46" s="450">
        <f t="shared" si="14"/>
        <v>8</v>
      </c>
      <c r="R46" s="450"/>
      <c r="S46" s="220">
        <v>5</v>
      </c>
      <c r="T46" s="221" t="s">
        <v>30</v>
      </c>
      <c r="U46" s="220">
        <v>0</v>
      </c>
      <c r="V46" s="450">
        <f t="shared" si="15"/>
        <v>1</v>
      </c>
      <c r="W46" s="450"/>
      <c r="X46" s="447" t="str">
        <f t="shared" ref="X46" si="17">IFERROR(VLOOKUP(AS46,$C$36:$N$38,3,0),"")&amp;IFERROR(VLOOKUP(AS46,$Q$36:$AB$38,3,0),"")&amp;IFERROR(VLOOKUP(AS46,$AE$36:$AP$38,3,0),"")</f>
        <v>清原ＳＳＳ</v>
      </c>
      <c r="Y46" s="448"/>
      <c r="Z46" s="448"/>
      <c r="AA46" s="448"/>
      <c r="AB46" s="448"/>
      <c r="AC46" s="448"/>
      <c r="AD46" s="448"/>
      <c r="AE46" s="443"/>
      <c r="AF46" s="444"/>
      <c r="AG46" s="444"/>
      <c r="AH46" s="444"/>
      <c r="AI46" s="450" t="str">
        <f ca="1">DBCS(INDIRECT("U12対戦スケジュール!c"&amp;(ROW()/2+19)))</f>
        <v>９／３／３／９</v>
      </c>
      <c r="AJ46" s="444"/>
      <c r="AK46" s="444"/>
      <c r="AL46" s="444"/>
      <c r="AM46" s="444"/>
      <c r="AN46" s="444"/>
      <c r="AO46" s="444"/>
      <c r="AP46" s="444"/>
      <c r="AR46" s="56">
        <v>7</v>
      </c>
      <c r="AS46" s="56">
        <v>1</v>
      </c>
    </row>
    <row r="47" spans="1:45" ht="20.100000000000001" customHeight="1" x14ac:dyDescent="0.4">
      <c r="B47" s="472"/>
      <c r="C47" s="452"/>
      <c r="D47" s="452"/>
      <c r="E47" s="452"/>
      <c r="F47" s="444"/>
      <c r="G47" s="444"/>
      <c r="H47" s="444"/>
      <c r="I47" s="444"/>
      <c r="J47" s="446"/>
      <c r="K47" s="446"/>
      <c r="L47" s="446"/>
      <c r="M47" s="446"/>
      <c r="N47" s="446"/>
      <c r="O47" s="446"/>
      <c r="P47" s="446"/>
      <c r="Q47" s="450"/>
      <c r="R47" s="450"/>
      <c r="S47" s="220">
        <v>3</v>
      </c>
      <c r="T47" s="221" t="s">
        <v>30</v>
      </c>
      <c r="U47" s="220">
        <v>1</v>
      </c>
      <c r="V47" s="450"/>
      <c r="W47" s="450"/>
      <c r="X47" s="448"/>
      <c r="Y47" s="448"/>
      <c r="Z47" s="448"/>
      <c r="AA47" s="448"/>
      <c r="AB47" s="448"/>
      <c r="AC47" s="448"/>
      <c r="AD47" s="448"/>
      <c r="AE47" s="444"/>
      <c r="AF47" s="444"/>
      <c r="AG47" s="444"/>
      <c r="AH47" s="444"/>
      <c r="AI47" s="444"/>
      <c r="AJ47" s="444"/>
      <c r="AK47" s="444"/>
      <c r="AL47" s="444"/>
      <c r="AM47" s="444"/>
      <c r="AN47" s="444"/>
      <c r="AO47" s="444"/>
      <c r="AP47" s="444"/>
    </row>
    <row r="48" spans="1:45" ht="20.100000000000001" customHeight="1" x14ac:dyDescent="0.4">
      <c r="B48" s="472">
        <v>3</v>
      </c>
      <c r="C48" s="452">
        <v>0.4236111111111111</v>
      </c>
      <c r="D48" s="452"/>
      <c r="E48" s="452"/>
      <c r="F48" s="443"/>
      <c r="G48" s="444"/>
      <c r="H48" s="444"/>
      <c r="I48" s="444"/>
      <c r="J48" s="445" t="str">
        <f t="shared" ref="J48" si="18">IFERROR(VLOOKUP(AR48,$C$36:$N$38,3,0),"")&amp;IFERROR(VLOOKUP(AR48,$Q$36:$AB$38,3,0),"")&amp;IFERROR(VLOOKUP(AR48,$AE$36:$AP$38,3,0),"")</f>
        <v>ＦＣアネーロ･U-12</v>
      </c>
      <c r="K48" s="446"/>
      <c r="L48" s="446"/>
      <c r="M48" s="446"/>
      <c r="N48" s="446"/>
      <c r="O48" s="446"/>
      <c r="P48" s="446"/>
      <c r="Q48" s="450">
        <f t="shared" si="14"/>
        <v>3</v>
      </c>
      <c r="R48" s="450"/>
      <c r="S48" s="220">
        <v>3</v>
      </c>
      <c r="T48" s="221" t="s">
        <v>30</v>
      </c>
      <c r="U48" s="220">
        <v>0</v>
      </c>
      <c r="V48" s="450">
        <f t="shared" si="15"/>
        <v>0</v>
      </c>
      <c r="W48" s="450"/>
      <c r="X48" s="447" t="str">
        <f t="shared" ref="X48" si="19">IFERROR(VLOOKUP(AS48,$C$36:$N$38,3,0),"")&amp;IFERROR(VLOOKUP(AS48,$Q$36:$AB$38,3,0),"")&amp;IFERROR(VLOOKUP(AS48,$AE$36:$AP$38,3,0),"")</f>
        <v>上三川ＦＣ</v>
      </c>
      <c r="Y48" s="448"/>
      <c r="Z48" s="448"/>
      <c r="AA48" s="448"/>
      <c r="AB48" s="448"/>
      <c r="AC48" s="448"/>
      <c r="AD48" s="448"/>
      <c r="AE48" s="443"/>
      <c r="AF48" s="444"/>
      <c r="AG48" s="444"/>
      <c r="AH48" s="444"/>
      <c r="AI48" s="450" t="str">
        <f ca="1">DBCS(INDIRECT("U12対戦スケジュール!c"&amp;(ROW()/2+19)))</f>
        <v>４／７／７／４</v>
      </c>
      <c r="AJ48" s="444"/>
      <c r="AK48" s="444"/>
      <c r="AL48" s="444"/>
      <c r="AM48" s="444"/>
      <c r="AN48" s="444"/>
      <c r="AO48" s="444"/>
      <c r="AP48" s="444"/>
      <c r="AR48" s="56">
        <v>6</v>
      </c>
      <c r="AS48" s="56">
        <v>9</v>
      </c>
    </row>
    <row r="49" spans="1:45" ht="20.100000000000001" customHeight="1" x14ac:dyDescent="0.4">
      <c r="B49" s="472"/>
      <c r="C49" s="452"/>
      <c r="D49" s="452"/>
      <c r="E49" s="452"/>
      <c r="F49" s="444"/>
      <c r="G49" s="444"/>
      <c r="H49" s="444"/>
      <c r="I49" s="444"/>
      <c r="J49" s="446"/>
      <c r="K49" s="446"/>
      <c r="L49" s="446"/>
      <c r="M49" s="446"/>
      <c r="N49" s="446"/>
      <c r="O49" s="446"/>
      <c r="P49" s="446"/>
      <c r="Q49" s="450"/>
      <c r="R49" s="450"/>
      <c r="S49" s="220">
        <v>0</v>
      </c>
      <c r="T49" s="221" t="s">
        <v>30</v>
      </c>
      <c r="U49" s="220">
        <v>0</v>
      </c>
      <c r="V49" s="450"/>
      <c r="W49" s="450"/>
      <c r="X49" s="448"/>
      <c r="Y49" s="448"/>
      <c r="Z49" s="448"/>
      <c r="AA49" s="448"/>
      <c r="AB49" s="448"/>
      <c r="AC49" s="448"/>
      <c r="AD49" s="448"/>
      <c r="AE49" s="444"/>
      <c r="AF49" s="444"/>
      <c r="AG49" s="444"/>
      <c r="AH49" s="444"/>
      <c r="AI49" s="444"/>
      <c r="AJ49" s="444"/>
      <c r="AK49" s="444"/>
      <c r="AL49" s="444"/>
      <c r="AM49" s="444"/>
      <c r="AN49" s="444"/>
      <c r="AO49" s="444"/>
      <c r="AP49" s="444"/>
    </row>
    <row r="50" spans="1:45" ht="20.100000000000001" customHeight="1" x14ac:dyDescent="0.4">
      <c r="B50" s="472">
        <v>4</v>
      </c>
      <c r="C50" s="452">
        <v>0.45833333333333331</v>
      </c>
      <c r="D50" s="452">
        <v>0.4375</v>
      </c>
      <c r="E50" s="452"/>
      <c r="F50" s="443"/>
      <c r="G50" s="444"/>
      <c r="H50" s="444"/>
      <c r="I50" s="444"/>
      <c r="J50" s="445" t="str">
        <f t="shared" ref="J50" si="20">IFERROR(VLOOKUP(AR50,$C$36:$N$38,3,0),"")&amp;IFERROR(VLOOKUP(AR50,$Q$36:$AB$38,3,0),"")&amp;IFERROR(VLOOKUP(AR50,$AE$36:$AP$38,3,0),"")</f>
        <v>緑が丘ＹＦＣ</v>
      </c>
      <c r="K50" s="446"/>
      <c r="L50" s="446"/>
      <c r="M50" s="446"/>
      <c r="N50" s="446"/>
      <c r="O50" s="446"/>
      <c r="P50" s="446"/>
      <c r="Q50" s="450">
        <f t="shared" ref="Q50:Q54" si="21">IF(OR(S50="",S51=""),"",S50+S51)</f>
        <v>0</v>
      </c>
      <c r="R50" s="450"/>
      <c r="S50" s="220">
        <v>0</v>
      </c>
      <c r="T50" s="221" t="s">
        <v>30</v>
      </c>
      <c r="U50" s="220">
        <v>0</v>
      </c>
      <c r="V50" s="450">
        <f t="shared" ref="V50:V54" si="22">IF(OR(U50="",U51=""),"",U50+U51)</f>
        <v>2</v>
      </c>
      <c r="W50" s="450"/>
      <c r="X50" s="447" t="str">
        <f t="shared" ref="X50" si="23">IFERROR(VLOOKUP(AS50,$C$36:$N$38,3,0),"")&amp;IFERROR(VLOOKUP(AS50,$Q$36:$AB$38,3,0),"")&amp;IFERROR(VLOOKUP(AS50,$AE$36:$AP$38,3,0),"")</f>
        <v>細谷サッカークラブ</v>
      </c>
      <c r="Y50" s="448"/>
      <c r="Z50" s="448"/>
      <c r="AA50" s="448"/>
      <c r="AB50" s="448"/>
      <c r="AC50" s="448"/>
      <c r="AD50" s="448"/>
      <c r="AE50" s="443"/>
      <c r="AF50" s="444"/>
      <c r="AG50" s="444"/>
      <c r="AH50" s="444"/>
      <c r="AI50" s="450" t="str">
        <f ca="1">DBCS(INDIRECT("U12対戦スケジュール!c"&amp;(ROW()/2+19)))</f>
        <v>６／９／９／６</v>
      </c>
      <c r="AJ50" s="444"/>
      <c r="AK50" s="444"/>
      <c r="AL50" s="444"/>
      <c r="AM50" s="444"/>
      <c r="AN50" s="444"/>
      <c r="AO50" s="444"/>
      <c r="AP50" s="444"/>
      <c r="AR50" s="56">
        <v>4</v>
      </c>
      <c r="AS50" s="56">
        <v>7</v>
      </c>
    </row>
    <row r="51" spans="1:45" ht="20.100000000000001" customHeight="1" x14ac:dyDescent="0.4">
      <c r="B51" s="472"/>
      <c r="C51" s="452"/>
      <c r="D51" s="452"/>
      <c r="E51" s="452"/>
      <c r="F51" s="444"/>
      <c r="G51" s="444"/>
      <c r="H51" s="444"/>
      <c r="I51" s="444"/>
      <c r="J51" s="446"/>
      <c r="K51" s="446"/>
      <c r="L51" s="446"/>
      <c r="M51" s="446"/>
      <c r="N51" s="446"/>
      <c r="O51" s="446"/>
      <c r="P51" s="446"/>
      <c r="Q51" s="450"/>
      <c r="R51" s="450"/>
      <c r="S51" s="220">
        <v>0</v>
      </c>
      <c r="T51" s="221" t="s">
        <v>30</v>
      </c>
      <c r="U51" s="220">
        <v>2</v>
      </c>
      <c r="V51" s="450"/>
      <c r="W51" s="450"/>
      <c r="X51" s="448"/>
      <c r="Y51" s="448"/>
      <c r="Z51" s="448"/>
      <c r="AA51" s="448"/>
      <c r="AB51" s="448"/>
      <c r="AC51" s="448"/>
      <c r="AD51" s="448"/>
      <c r="AE51" s="444"/>
      <c r="AF51" s="444"/>
      <c r="AG51" s="444"/>
      <c r="AH51" s="444"/>
      <c r="AI51" s="444"/>
      <c r="AJ51" s="444"/>
      <c r="AK51" s="444"/>
      <c r="AL51" s="444"/>
      <c r="AM51" s="444"/>
      <c r="AN51" s="444"/>
      <c r="AO51" s="444"/>
      <c r="AP51" s="444"/>
    </row>
    <row r="52" spans="1:45" ht="20.100000000000001" customHeight="1" x14ac:dyDescent="0.4">
      <c r="B52" s="472">
        <v>5</v>
      </c>
      <c r="C52" s="452">
        <v>0.49305555555555558</v>
      </c>
      <c r="D52" s="452"/>
      <c r="E52" s="452"/>
      <c r="F52" s="443"/>
      <c r="G52" s="444"/>
      <c r="H52" s="444"/>
      <c r="I52" s="444"/>
      <c r="J52" s="445" t="str">
        <f t="shared" ref="J52" si="24">IFERROR(VLOOKUP(AR52,$C$36:$N$38,3,0),"")&amp;IFERROR(VLOOKUP(AR52,$Q$36:$AB$38,3,0),"")&amp;IFERROR(VLOOKUP(AR52,$AE$36:$AP$38,3,0),"")</f>
        <v>ＦＣブロケード</v>
      </c>
      <c r="K52" s="446"/>
      <c r="L52" s="446"/>
      <c r="M52" s="446"/>
      <c r="N52" s="446"/>
      <c r="O52" s="446"/>
      <c r="P52" s="446"/>
      <c r="Q52" s="450">
        <f t="shared" si="21"/>
        <v>0</v>
      </c>
      <c r="R52" s="450"/>
      <c r="S52" s="220">
        <v>0</v>
      </c>
      <c r="T52" s="221" t="s">
        <v>30</v>
      </c>
      <c r="U52" s="220">
        <v>2</v>
      </c>
      <c r="V52" s="450">
        <f t="shared" si="22"/>
        <v>2</v>
      </c>
      <c r="W52" s="450"/>
      <c r="X52" s="447" t="str">
        <f t="shared" ref="X52" si="25">IFERROR(VLOOKUP(AS52,$C$36:$N$38,3,0),"")&amp;IFERROR(VLOOKUP(AS52,$Q$36:$AB$38,3,0),"")&amp;IFERROR(VLOOKUP(AS52,$AE$36:$AP$38,3,0),"")</f>
        <v>ＦＣアネーロ･U-12</v>
      </c>
      <c r="Y52" s="448"/>
      <c r="Z52" s="448"/>
      <c r="AA52" s="448"/>
      <c r="AB52" s="448"/>
      <c r="AC52" s="448"/>
      <c r="AD52" s="448"/>
      <c r="AE52" s="443"/>
      <c r="AF52" s="444"/>
      <c r="AG52" s="444"/>
      <c r="AH52" s="444"/>
      <c r="AI52" s="450" t="str">
        <f ca="1">DBCS(INDIRECT("U12対戦スケジュール!c"&amp;(ROW()/2+19)))</f>
        <v>１／４／４／１</v>
      </c>
      <c r="AJ52" s="444"/>
      <c r="AK52" s="444"/>
      <c r="AL52" s="444"/>
      <c r="AM52" s="444"/>
      <c r="AN52" s="444"/>
      <c r="AO52" s="444"/>
      <c r="AP52" s="444"/>
      <c r="AR52" s="56">
        <v>3</v>
      </c>
      <c r="AS52" s="56">
        <v>6</v>
      </c>
    </row>
    <row r="53" spans="1:45" ht="20.100000000000001" customHeight="1" x14ac:dyDescent="0.4">
      <c r="B53" s="472"/>
      <c r="C53" s="452"/>
      <c r="D53" s="452"/>
      <c r="E53" s="452"/>
      <c r="F53" s="444"/>
      <c r="G53" s="444"/>
      <c r="H53" s="444"/>
      <c r="I53" s="444"/>
      <c r="J53" s="446"/>
      <c r="K53" s="446"/>
      <c r="L53" s="446"/>
      <c r="M53" s="446"/>
      <c r="N53" s="446"/>
      <c r="O53" s="446"/>
      <c r="P53" s="446"/>
      <c r="Q53" s="450"/>
      <c r="R53" s="450"/>
      <c r="S53" s="220">
        <v>0</v>
      </c>
      <c r="T53" s="221" t="s">
        <v>30</v>
      </c>
      <c r="U53" s="220">
        <v>0</v>
      </c>
      <c r="V53" s="450"/>
      <c r="W53" s="450"/>
      <c r="X53" s="448"/>
      <c r="Y53" s="448"/>
      <c r="Z53" s="448"/>
      <c r="AA53" s="448"/>
      <c r="AB53" s="448"/>
      <c r="AC53" s="448"/>
      <c r="AD53" s="448"/>
      <c r="AE53" s="444"/>
      <c r="AF53" s="444"/>
      <c r="AG53" s="444"/>
      <c r="AH53" s="444"/>
      <c r="AI53" s="444"/>
      <c r="AJ53" s="444"/>
      <c r="AK53" s="444"/>
      <c r="AL53" s="444"/>
      <c r="AM53" s="444"/>
      <c r="AN53" s="444"/>
      <c r="AO53" s="444"/>
      <c r="AP53" s="444"/>
    </row>
    <row r="54" spans="1:45" ht="20.100000000000001" customHeight="1" x14ac:dyDescent="0.4">
      <c r="B54" s="472">
        <v>6</v>
      </c>
      <c r="C54" s="452">
        <v>0.52777777777777779</v>
      </c>
      <c r="D54" s="452">
        <v>0.4375</v>
      </c>
      <c r="E54" s="452"/>
      <c r="F54" s="443"/>
      <c r="G54" s="444"/>
      <c r="H54" s="444"/>
      <c r="I54" s="444"/>
      <c r="J54" s="445" t="str">
        <f t="shared" ref="J54" si="26">IFERROR(VLOOKUP(AR54,$C$36:$N$38,3,0),"")&amp;IFERROR(VLOOKUP(AR54,$Q$36:$AB$38,3,0),"")&amp;IFERROR(VLOOKUP(AR54,$AE$36:$AP$38,3,0),"")</f>
        <v>清原ＳＳＳ</v>
      </c>
      <c r="K54" s="446"/>
      <c r="L54" s="446"/>
      <c r="M54" s="446"/>
      <c r="N54" s="446"/>
      <c r="O54" s="446"/>
      <c r="P54" s="446"/>
      <c r="Q54" s="450">
        <f t="shared" si="21"/>
        <v>4</v>
      </c>
      <c r="R54" s="450"/>
      <c r="S54" s="220">
        <v>2</v>
      </c>
      <c r="T54" s="221" t="s">
        <v>30</v>
      </c>
      <c r="U54" s="220">
        <v>1</v>
      </c>
      <c r="V54" s="450">
        <f t="shared" si="22"/>
        <v>3</v>
      </c>
      <c r="W54" s="450"/>
      <c r="X54" s="447" t="str">
        <f t="shared" ref="X54" si="27">IFERROR(VLOOKUP(AS54,$C$36:$N$38,3,0),"")&amp;IFERROR(VLOOKUP(AS54,$Q$36:$AB$38,3,0),"")&amp;IFERROR(VLOOKUP(AS54,$AE$36:$AP$38,3,0),"")</f>
        <v>緑が丘ＹＦＣ</v>
      </c>
      <c r="Y54" s="448"/>
      <c r="Z54" s="448"/>
      <c r="AA54" s="448"/>
      <c r="AB54" s="448"/>
      <c r="AC54" s="448"/>
      <c r="AD54" s="448"/>
      <c r="AE54" s="443"/>
      <c r="AF54" s="444"/>
      <c r="AG54" s="444"/>
      <c r="AH54" s="444"/>
      <c r="AI54" s="450" t="str">
        <f ca="1">DBCS(INDIRECT("U12対戦スケジュール!c"&amp;(ROW()/2+19)))</f>
        <v>３／６／６／３</v>
      </c>
      <c r="AJ54" s="444"/>
      <c r="AK54" s="444"/>
      <c r="AL54" s="444"/>
      <c r="AM54" s="444"/>
      <c r="AN54" s="444"/>
      <c r="AO54" s="444"/>
      <c r="AP54" s="444"/>
      <c r="AR54" s="56">
        <v>1</v>
      </c>
      <c r="AS54" s="56">
        <v>4</v>
      </c>
    </row>
    <row r="55" spans="1:45" ht="20.100000000000001" customHeight="1" x14ac:dyDescent="0.4">
      <c r="B55" s="472"/>
      <c r="C55" s="452"/>
      <c r="D55" s="452"/>
      <c r="E55" s="452"/>
      <c r="F55" s="444"/>
      <c r="G55" s="444"/>
      <c r="H55" s="444"/>
      <c r="I55" s="444"/>
      <c r="J55" s="446"/>
      <c r="K55" s="446"/>
      <c r="L55" s="446"/>
      <c r="M55" s="446"/>
      <c r="N55" s="446"/>
      <c r="O55" s="446"/>
      <c r="P55" s="446"/>
      <c r="Q55" s="450"/>
      <c r="R55" s="450"/>
      <c r="S55" s="220">
        <v>2</v>
      </c>
      <c r="T55" s="221" t="s">
        <v>30</v>
      </c>
      <c r="U55" s="220">
        <v>2</v>
      </c>
      <c r="V55" s="450"/>
      <c r="W55" s="450"/>
      <c r="X55" s="448"/>
      <c r="Y55" s="448"/>
      <c r="Z55" s="448"/>
      <c r="AA55" s="448"/>
      <c r="AB55" s="448"/>
      <c r="AC55" s="448"/>
      <c r="AD55" s="448"/>
      <c r="AE55" s="444"/>
      <c r="AF55" s="444"/>
      <c r="AG55" s="444"/>
      <c r="AH55" s="444"/>
      <c r="AI55" s="444"/>
      <c r="AJ55" s="444"/>
      <c r="AK55" s="444"/>
      <c r="AL55" s="444"/>
      <c r="AM55" s="444"/>
      <c r="AN55" s="444"/>
      <c r="AO55" s="444"/>
      <c r="AP55" s="444"/>
    </row>
    <row r="56" spans="1:45" ht="20.100000000000001" hidden="1" customHeight="1" thickBot="1" x14ac:dyDescent="0.45">
      <c r="B56" s="573">
        <v>7</v>
      </c>
      <c r="C56" s="535">
        <v>0.58333333333333304</v>
      </c>
      <c r="D56" s="541"/>
      <c r="E56" s="542"/>
      <c r="F56" s="547"/>
      <c r="G56" s="548"/>
      <c r="H56" s="548"/>
      <c r="I56" s="549"/>
      <c r="J56" s="553" t="str">
        <f>IFERROR(VLOOKUP(AR56,$C$36:$N$38,3,0),"")&amp;IFERROR(VLOOKUP(AR56,$Q$36:$AB$38,3,0),"")&amp;IFERROR(VLOOKUP(AR56,$AE$36:$AP$38,3,0),"")</f>
        <v/>
      </c>
      <c r="K56" s="554"/>
      <c r="L56" s="554"/>
      <c r="M56" s="554"/>
      <c r="N56" s="554"/>
      <c r="O56" s="554"/>
      <c r="P56" s="555"/>
      <c r="Q56" s="563" t="str">
        <f>IF(OR(S56="",S57=""),"",S56+S57)</f>
        <v/>
      </c>
      <c r="R56" s="564"/>
      <c r="S56" s="228"/>
      <c r="T56" s="229" t="s">
        <v>30</v>
      </c>
      <c r="U56" s="228"/>
      <c r="V56" s="563" t="str">
        <f>IF(OR(U56="",U57=""),"",U56+U57)</f>
        <v/>
      </c>
      <c r="W56" s="564"/>
      <c r="X56" s="559" t="str">
        <f>IFERROR(VLOOKUP(AS56,$C$36:$N$38,3,0),"")&amp;IFERROR(VLOOKUP(AS56,$Q$36:$AB$38,3,0),"")&amp;IFERROR(VLOOKUP(AS56,$AE$36:$AP$38,3,0),"")</f>
        <v/>
      </c>
      <c r="Y56" s="554"/>
      <c r="Z56" s="554"/>
      <c r="AA56" s="554"/>
      <c r="AB56" s="554"/>
      <c r="AC56" s="554"/>
      <c r="AD56" s="560"/>
      <c r="AE56" s="547"/>
      <c r="AF56" s="548"/>
      <c r="AG56" s="548"/>
      <c r="AH56" s="549"/>
      <c r="AI56" s="567" t="str">
        <f ca="1">DBCS(INDIRECT("U12対戦スケジュール!c"&amp;(ROW()/2+19)))</f>
        <v/>
      </c>
      <c r="AJ56" s="568"/>
      <c r="AK56" s="568"/>
      <c r="AL56" s="568"/>
      <c r="AM56" s="568"/>
      <c r="AN56" s="568"/>
      <c r="AO56" s="568"/>
      <c r="AP56" s="569"/>
    </row>
    <row r="57" spans="1:45" ht="20.100000000000001" hidden="1" customHeight="1" thickBot="1" x14ac:dyDescent="0.45">
      <c r="B57" s="574"/>
      <c r="C57" s="543"/>
      <c r="D57" s="544"/>
      <c r="E57" s="545"/>
      <c r="F57" s="550"/>
      <c r="G57" s="551"/>
      <c r="H57" s="551"/>
      <c r="I57" s="552"/>
      <c r="J57" s="556"/>
      <c r="K57" s="557"/>
      <c r="L57" s="557"/>
      <c r="M57" s="557"/>
      <c r="N57" s="557"/>
      <c r="O57" s="557"/>
      <c r="P57" s="558"/>
      <c r="Q57" s="565"/>
      <c r="R57" s="566"/>
      <c r="S57" s="67"/>
      <c r="T57" s="131" t="s">
        <v>30</v>
      </c>
      <c r="U57" s="67"/>
      <c r="V57" s="565"/>
      <c r="W57" s="566"/>
      <c r="X57" s="561"/>
      <c r="Y57" s="557"/>
      <c r="Z57" s="557"/>
      <c r="AA57" s="557"/>
      <c r="AB57" s="557"/>
      <c r="AC57" s="557"/>
      <c r="AD57" s="562"/>
      <c r="AE57" s="550"/>
      <c r="AF57" s="551"/>
      <c r="AG57" s="551"/>
      <c r="AH57" s="552"/>
      <c r="AI57" s="570"/>
      <c r="AJ57" s="571"/>
      <c r="AK57" s="571"/>
      <c r="AL57" s="571"/>
      <c r="AM57" s="571"/>
      <c r="AN57" s="571"/>
      <c r="AO57" s="571"/>
      <c r="AP57" s="572"/>
    </row>
    <row r="58" spans="1:45" s="55" customFormat="1" ht="15.75" customHeight="1" x14ac:dyDescent="0.4">
      <c r="A58" s="58"/>
      <c r="B58" s="59"/>
      <c r="C58" s="60"/>
      <c r="D58" s="60"/>
      <c r="E58" s="60"/>
      <c r="F58" s="59"/>
      <c r="G58" s="59"/>
      <c r="H58" s="59"/>
      <c r="I58" s="59"/>
      <c r="J58" s="59"/>
      <c r="K58" s="61"/>
      <c r="L58" s="61"/>
      <c r="M58" s="62"/>
      <c r="N58" s="63"/>
      <c r="O58" s="62"/>
      <c r="P58" s="61"/>
      <c r="Q58" s="61"/>
      <c r="R58" s="59"/>
      <c r="S58" s="59"/>
      <c r="T58" s="59"/>
      <c r="U58" s="59"/>
      <c r="V58" s="59"/>
      <c r="W58" s="66"/>
      <c r="X58" s="66"/>
      <c r="Y58" s="66"/>
      <c r="Z58" s="66"/>
      <c r="AA58" s="66"/>
      <c r="AB58" s="66"/>
      <c r="AC58" s="58"/>
    </row>
    <row r="59" spans="1:45" ht="20.25" customHeight="1" x14ac:dyDescent="0.4">
      <c r="D59" s="477" t="s">
        <v>31</v>
      </c>
      <c r="E59" s="477"/>
      <c r="F59" s="477"/>
      <c r="G59" s="477"/>
      <c r="H59" s="477"/>
      <c r="I59" s="477"/>
      <c r="J59" s="477" t="s">
        <v>27</v>
      </c>
      <c r="K59" s="477"/>
      <c r="L59" s="477"/>
      <c r="M59" s="477"/>
      <c r="N59" s="477"/>
      <c r="O59" s="477"/>
      <c r="P59" s="477"/>
      <c r="Q59" s="477"/>
      <c r="R59" s="478" t="s">
        <v>32</v>
      </c>
      <c r="S59" s="478"/>
      <c r="T59" s="478"/>
      <c r="U59" s="478"/>
      <c r="V59" s="478"/>
      <c r="W59" s="478"/>
      <c r="X59" s="478"/>
      <c r="Y59" s="478"/>
      <c r="Z59" s="478"/>
      <c r="AA59" s="479" t="s">
        <v>33</v>
      </c>
      <c r="AB59" s="479"/>
      <c r="AC59" s="479"/>
      <c r="AD59" s="479" t="s">
        <v>34</v>
      </c>
      <c r="AE59" s="479"/>
      <c r="AF59" s="479"/>
      <c r="AG59" s="479"/>
      <c r="AH59" s="479"/>
      <c r="AI59" s="479"/>
      <c r="AJ59" s="479"/>
      <c r="AK59" s="479"/>
      <c r="AL59" s="479"/>
      <c r="AM59" s="479"/>
    </row>
    <row r="60" spans="1:45" ht="30" customHeight="1" x14ac:dyDescent="0.4">
      <c r="D60" s="477" t="s">
        <v>35</v>
      </c>
      <c r="E60" s="477"/>
      <c r="F60" s="477"/>
      <c r="G60" s="477"/>
      <c r="H60" s="477"/>
      <c r="I60" s="477"/>
      <c r="J60" s="477"/>
      <c r="K60" s="477"/>
      <c r="L60" s="477"/>
      <c r="M60" s="477"/>
      <c r="N60" s="477"/>
      <c r="O60" s="477"/>
      <c r="P60" s="477"/>
      <c r="Q60" s="477"/>
      <c r="R60" s="478"/>
      <c r="S60" s="478"/>
      <c r="T60" s="478"/>
      <c r="U60" s="478"/>
      <c r="V60" s="478"/>
      <c r="W60" s="478"/>
      <c r="X60" s="478"/>
      <c r="Y60" s="478"/>
      <c r="Z60" s="478"/>
      <c r="AA60" s="481"/>
      <c r="AB60" s="481"/>
      <c r="AC60" s="481"/>
      <c r="AD60" s="480"/>
      <c r="AE60" s="480"/>
      <c r="AF60" s="480"/>
      <c r="AG60" s="480"/>
      <c r="AH60" s="480"/>
      <c r="AI60" s="480"/>
      <c r="AJ60" s="480"/>
      <c r="AK60" s="480"/>
      <c r="AL60" s="480"/>
      <c r="AM60" s="480"/>
    </row>
    <row r="61" spans="1:45" ht="30" customHeight="1" x14ac:dyDescent="0.4">
      <c r="D61" s="477" t="s">
        <v>35</v>
      </c>
      <c r="E61" s="477"/>
      <c r="F61" s="477"/>
      <c r="G61" s="477"/>
      <c r="H61" s="477"/>
      <c r="I61" s="477"/>
      <c r="J61" s="477"/>
      <c r="K61" s="477"/>
      <c r="L61" s="477"/>
      <c r="M61" s="477"/>
      <c r="N61" s="477"/>
      <c r="O61" s="477"/>
      <c r="P61" s="477"/>
      <c r="Q61" s="477"/>
      <c r="R61" s="478"/>
      <c r="S61" s="478"/>
      <c r="T61" s="478"/>
      <c r="U61" s="478"/>
      <c r="V61" s="478"/>
      <c r="W61" s="478"/>
      <c r="X61" s="478"/>
      <c r="Y61" s="478"/>
      <c r="Z61" s="478"/>
      <c r="AA61" s="479"/>
      <c r="AB61" s="479"/>
      <c r="AC61" s="479"/>
      <c r="AD61" s="480"/>
      <c r="AE61" s="480"/>
      <c r="AF61" s="480"/>
      <c r="AG61" s="480"/>
      <c r="AH61" s="480"/>
      <c r="AI61" s="480"/>
      <c r="AJ61" s="480"/>
      <c r="AK61" s="480"/>
      <c r="AL61" s="480"/>
      <c r="AM61" s="480"/>
    </row>
    <row r="62" spans="1:45" ht="30" customHeight="1" x14ac:dyDescent="0.4">
      <c r="D62" s="477" t="s">
        <v>35</v>
      </c>
      <c r="E62" s="477"/>
      <c r="F62" s="477"/>
      <c r="G62" s="477"/>
      <c r="H62" s="477"/>
      <c r="I62" s="477"/>
      <c r="J62" s="477"/>
      <c r="K62" s="477"/>
      <c r="L62" s="477"/>
      <c r="M62" s="477"/>
      <c r="N62" s="477"/>
      <c r="O62" s="477"/>
      <c r="P62" s="477"/>
      <c r="Q62" s="477"/>
      <c r="R62" s="478"/>
      <c r="S62" s="478"/>
      <c r="T62" s="478"/>
      <c r="U62" s="478"/>
      <c r="V62" s="478"/>
      <c r="W62" s="478"/>
      <c r="X62" s="478"/>
      <c r="Y62" s="478"/>
      <c r="Z62" s="478"/>
      <c r="AA62" s="479"/>
      <c r="AB62" s="479"/>
      <c r="AC62" s="479"/>
      <c r="AD62" s="480"/>
      <c r="AE62" s="480"/>
      <c r="AF62" s="480"/>
      <c r="AG62" s="480"/>
      <c r="AH62" s="480"/>
      <c r="AI62" s="480"/>
      <c r="AJ62" s="480"/>
      <c r="AK62" s="480"/>
      <c r="AL62" s="480"/>
      <c r="AM62" s="480"/>
    </row>
    <row r="63" spans="1:45" ht="14.25" customHeight="1" x14ac:dyDescent="0.4">
      <c r="A63" s="451" t="s">
        <v>566</v>
      </c>
      <c r="B63" s="451"/>
      <c r="C63" s="451"/>
      <c r="D63" s="451"/>
      <c r="E63" s="451"/>
      <c r="F63" s="451"/>
      <c r="G63" s="451"/>
      <c r="H63" s="451"/>
      <c r="I63" s="451"/>
      <c r="J63" s="451"/>
      <c r="K63" s="451"/>
      <c r="L63" s="451"/>
      <c r="M63" s="451"/>
      <c r="N63" s="451"/>
      <c r="O63" s="451"/>
      <c r="P63" s="451"/>
      <c r="Q63" s="451"/>
      <c r="R63" s="451"/>
      <c r="S63" s="451"/>
      <c r="T63" s="451"/>
      <c r="U63" s="451"/>
      <c r="V63" s="451"/>
      <c r="W63" s="451"/>
      <c r="X63" s="451"/>
      <c r="Y63" s="451"/>
      <c r="Z63" s="451"/>
      <c r="AA63" s="451"/>
      <c r="AB63" s="451"/>
      <c r="AC63" s="451"/>
      <c r="AD63" s="451"/>
      <c r="AE63" s="451"/>
      <c r="AF63" s="451"/>
      <c r="AG63" s="451"/>
      <c r="AH63" s="451"/>
      <c r="AI63" s="451"/>
      <c r="AJ63" s="451"/>
      <c r="AK63" s="451"/>
      <c r="AL63" s="451"/>
      <c r="AM63" s="451"/>
      <c r="AN63" s="451"/>
      <c r="AO63" s="451"/>
      <c r="AP63" s="451"/>
      <c r="AQ63" s="451"/>
      <c r="AR63" s="142"/>
      <c r="AS63" s="142"/>
    </row>
    <row r="64" spans="1:45" ht="14.25" customHeight="1" x14ac:dyDescent="0.4">
      <c r="A64" s="451"/>
      <c r="B64" s="451"/>
      <c r="C64" s="451"/>
      <c r="D64" s="451"/>
      <c r="E64" s="451"/>
      <c r="F64" s="451"/>
      <c r="G64" s="451"/>
      <c r="H64" s="451"/>
      <c r="I64" s="451"/>
      <c r="J64" s="451"/>
      <c r="K64" s="451"/>
      <c r="L64" s="451"/>
      <c r="M64" s="451"/>
      <c r="N64" s="451"/>
      <c r="O64" s="451"/>
      <c r="P64" s="451"/>
      <c r="Q64" s="451"/>
      <c r="R64" s="451"/>
      <c r="S64" s="451"/>
      <c r="T64" s="451"/>
      <c r="U64" s="451"/>
      <c r="V64" s="451"/>
      <c r="W64" s="451"/>
      <c r="X64" s="451"/>
      <c r="Y64" s="451"/>
      <c r="Z64" s="451"/>
      <c r="AA64" s="451"/>
      <c r="AB64" s="451"/>
      <c r="AC64" s="451"/>
      <c r="AD64" s="451"/>
      <c r="AE64" s="451"/>
      <c r="AF64" s="451"/>
      <c r="AG64" s="451"/>
      <c r="AH64" s="451"/>
      <c r="AI64" s="451"/>
      <c r="AJ64" s="451"/>
      <c r="AK64" s="451"/>
      <c r="AL64" s="451"/>
      <c r="AM64" s="451"/>
      <c r="AN64" s="451"/>
      <c r="AO64" s="451"/>
      <c r="AP64" s="451"/>
      <c r="AQ64" s="451"/>
      <c r="AR64" s="142"/>
      <c r="AS64" s="142"/>
    </row>
    <row r="65" spans="2:45" ht="27.75" customHeight="1" x14ac:dyDescent="0.4">
      <c r="C65" s="460" t="s">
        <v>8</v>
      </c>
      <c r="D65" s="460"/>
      <c r="E65" s="460"/>
      <c r="F65" s="460"/>
      <c r="G65" s="482" t="str">
        <f>U12対戦スケジュール!B64</f>
        <v>豊郷南小学校</v>
      </c>
      <c r="H65" s="483"/>
      <c r="I65" s="483"/>
      <c r="J65" s="483"/>
      <c r="K65" s="483"/>
      <c r="L65" s="483"/>
      <c r="M65" s="483"/>
      <c r="N65" s="483"/>
      <c r="O65" s="483"/>
      <c r="P65" s="460" t="s">
        <v>0</v>
      </c>
      <c r="Q65" s="460"/>
      <c r="R65" s="460"/>
      <c r="S65" s="460"/>
      <c r="T65" s="482" t="str">
        <f>U12対戦スケジュール!B65</f>
        <v>ＦＣグランディール</v>
      </c>
      <c r="U65" s="483"/>
      <c r="V65" s="483"/>
      <c r="W65" s="483"/>
      <c r="X65" s="483"/>
      <c r="Y65" s="483"/>
      <c r="Z65" s="483"/>
      <c r="AA65" s="483"/>
      <c r="AB65" s="483"/>
      <c r="AC65" s="460" t="s">
        <v>9</v>
      </c>
      <c r="AD65" s="460"/>
      <c r="AE65" s="460"/>
      <c r="AF65" s="460"/>
      <c r="AG65" s="484">
        <f>U12組合せ!$B36</f>
        <v>43750</v>
      </c>
      <c r="AH65" s="485"/>
      <c r="AI65" s="485"/>
      <c r="AJ65" s="485"/>
      <c r="AK65" s="485"/>
      <c r="AL65" s="485"/>
      <c r="AM65" s="486" t="str">
        <f>"（"&amp;TEXT(AG65,"aaa")&amp;"）"</f>
        <v>（土）</v>
      </c>
      <c r="AN65" s="486"/>
      <c r="AO65" s="487"/>
    </row>
    <row r="66" spans="2:45" ht="15" customHeight="1" x14ac:dyDescent="0.4"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64"/>
      <c r="X66" s="64"/>
      <c r="Y66" s="64"/>
      <c r="Z66" s="64"/>
      <c r="AA66" s="64"/>
      <c r="AB66" s="64"/>
      <c r="AC66" s="64"/>
    </row>
    <row r="67" spans="2:45" ht="18" customHeight="1" x14ac:dyDescent="0.4">
      <c r="C67" s="475">
        <v>1</v>
      </c>
      <c r="D67" s="475"/>
      <c r="E67" s="476" t="str">
        <f>U12組合せ!$H$14</f>
        <v>清原ＳＳＳ</v>
      </c>
      <c r="F67" s="476"/>
      <c r="G67" s="476"/>
      <c r="H67" s="476"/>
      <c r="I67" s="476"/>
      <c r="J67" s="476"/>
      <c r="K67" s="476"/>
      <c r="L67" s="476"/>
      <c r="M67" s="476"/>
      <c r="N67" s="476"/>
      <c r="O67" s="58"/>
      <c r="P67" s="58"/>
      <c r="Q67" s="475">
        <v>2</v>
      </c>
      <c r="R67" s="475"/>
      <c r="S67" s="453" t="str">
        <f>U12組合せ!$H$15</f>
        <v>ＦＣグランディール</v>
      </c>
      <c r="T67" s="575"/>
      <c r="U67" s="575"/>
      <c r="V67" s="575"/>
      <c r="W67" s="575"/>
      <c r="X67" s="575"/>
      <c r="Y67" s="575"/>
      <c r="Z67" s="575"/>
      <c r="AA67" s="575"/>
      <c r="AB67" s="576"/>
      <c r="AC67" s="68"/>
      <c r="AD67" s="55"/>
      <c r="AE67" s="475">
        <v>3</v>
      </c>
      <c r="AF67" s="475"/>
      <c r="AG67" s="476" t="str">
        <f>U12組合せ!$H$16</f>
        <v>ＦＣブロケード</v>
      </c>
      <c r="AH67" s="476"/>
      <c r="AI67" s="476"/>
      <c r="AJ67" s="476"/>
      <c r="AK67" s="476"/>
      <c r="AL67" s="476"/>
      <c r="AM67" s="476"/>
      <c r="AN67" s="476"/>
      <c r="AO67" s="476"/>
      <c r="AP67" s="476"/>
    </row>
    <row r="68" spans="2:45" ht="18" customHeight="1" x14ac:dyDescent="0.4">
      <c r="C68" s="475">
        <v>4</v>
      </c>
      <c r="D68" s="475"/>
      <c r="E68" s="476" t="str">
        <f>U12組合せ!$H$17</f>
        <v>緑が丘ＹＦＣ</v>
      </c>
      <c r="F68" s="476"/>
      <c r="G68" s="476"/>
      <c r="H68" s="476"/>
      <c r="I68" s="476"/>
      <c r="J68" s="476"/>
      <c r="K68" s="476"/>
      <c r="L68" s="476"/>
      <c r="M68" s="476"/>
      <c r="N68" s="476"/>
      <c r="O68" s="58"/>
      <c r="P68" s="58"/>
      <c r="Q68" s="475">
        <v>5</v>
      </c>
      <c r="R68" s="475"/>
      <c r="S68" s="476" t="str">
        <f>U12組合せ!$H$18</f>
        <v>ともぞうＳＣ U12</v>
      </c>
      <c r="T68" s="476"/>
      <c r="U68" s="476"/>
      <c r="V68" s="476"/>
      <c r="W68" s="476"/>
      <c r="X68" s="476"/>
      <c r="Y68" s="476"/>
      <c r="Z68" s="476"/>
      <c r="AA68" s="476"/>
      <c r="AB68" s="476"/>
      <c r="AC68" s="68"/>
      <c r="AD68" s="55"/>
      <c r="AE68" s="475">
        <v>6</v>
      </c>
      <c r="AF68" s="475"/>
      <c r="AG68" s="476" t="str">
        <f>U12組合せ!$H$19</f>
        <v>ＦＣアネーロ･U-12</v>
      </c>
      <c r="AH68" s="476"/>
      <c r="AI68" s="476"/>
      <c r="AJ68" s="476"/>
      <c r="AK68" s="476"/>
      <c r="AL68" s="476"/>
      <c r="AM68" s="476"/>
      <c r="AN68" s="476"/>
      <c r="AO68" s="476"/>
      <c r="AP68" s="476"/>
    </row>
    <row r="69" spans="2:45" ht="18" customHeight="1" x14ac:dyDescent="0.4">
      <c r="C69" s="475">
        <v>7</v>
      </c>
      <c r="D69" s="475"/>
      <c r="E69" s="476" t="str">
        <f>U12組合せ!$H$20</f>
        <v>細谷サッカークラブ</v>
      </c>
      <c r="F69" s="476"/>
      <c r="G69" s="476"/>
      <c r="H69" s="476"/>
      <c r="I69" s="476"/>
      <c r="J69" s="476"/>
      <c r="K69" s="476"/>
      <c r="L69" s="476"/>
      <c r="M69" s="476"/>
      <c r="N69" s="476"/>
      <c r="O69" s="58"/>
      <c r="P69" s="58"/>
      <c r="Q69" s="475">
        <v>8</v>
      </c>
      <c r="R69" s="475"/>
      <c r="S69" s="476" t="str">
        <f>U12組合せ!$H$21</f>
        <v>ＦＣ Ｒｉｓｏ</v>
      </c>
      <c r="T69" s="476"/>
      <c r="U69" s="476"/>
      <c r="V69" s="476"/>
      <c r="W69" s="476"/>
      <c r="X69" s="476"/>
      <c r="Y69" s="476"/>
      <c r="Z69" s="476"/>
      <c r="AA69" s="476"/>
      <c r="AB69" s="476"/>
      <c r="AC69" s="68"/>
      <c r="AD69" s="55"/>
      <c r="AE69" s="475">
        <v>9</v>
      </c>
      <c r="AF69" s="475"/>
      <c r="AG69" s="476" t="str">
        <f>U12組合せ!$H$22</f>
        <v>上三川ＦＣ</v>
      </c>
      <c r="AH69" s="476"/>
      <c r="AI69" s="476"/>
      <c r="AJ69" s="476"/>
      <c r="AK69" s="476"/>
      <c r="AL69" s="476"/>
      <c r="AM69" s="476"/>
      <c r="AN69" s="476"/>
      <c r="AO69" s="476"/>
      <c r="AP69" s="476"/>
    </row>
    <row r="70" spans="2:45" ht="18" customHeight="1" x14ac:dyDescent="0.4">
      <c r="C70" s="475"/>
      <c r="D70" s="475"/>
      <c r="E70" s="476"/>
      <c r="F70" s="476"/>
      <c r="G70" s="476"/>
      <c r="H70" s="476"/>
      <c r="I70" s="476"/>
      <c r="J70" s="476"/>
      <c r="K70" s="476"/>
      <c r="L70" s="476"/>
      <c r="M70" s="476"/>
      <c r="N70" s="476"/>
      <c r="O70" s="58"/>
      <c r="P70" s="58"/>
      <c r="Q70" s="475"/>
      <c r="R70" s="475"/>
      <c r="S70" s="476"/>
      <c r="T70" s="476"/>
      <c r="U70" s="476"/>
      <c r="V70" s="476"/>
      <c r="W70" s="476"/>
      <c r="X70" s="476"/>
      <c r="Y70" s="476"/>
      <c r="Z70" s="476"/>
      <c r="AA70" s="476"/>
      <c r="AB70" s="476"/>
      <c r="AC70" s="68"/>
      <c r="AD70" s="55"/>
      <c r="AE70" s="475"/>
      <c r="AF70" s="475"/>
      <c r="AG70" s="476"/>
      <c r="AH70" s="476"/>
      <c r="AI70" s="476"/>
      <c r="AJ70" s="476"/>
      <c r="AK70" s="476"/>
      <c r="AL70" s="476"/>
      <c r="AM70" s="476"/>
      <c r="AN70" s="476"/>
      <c r="AO70" s="476"/>
      <c r="AP70" s="476"/>
    </row>
    <row r="71" spans="2:45" ht="18" customHeight="1" x14ac:dyDescent="0.4">
      <c r="B71" s="57"/>
      <c r="C71" s="475"/>
      <c r="D71" s="475"/>
      <c r="E71" s="476"/>
      <c r="F71" s="476"/>
      <c r="G71" s="476"/>
      <c r="H71" s="476"/>
      <c r="I71" s="476"/>
      <c r="J71" s="476"/>
      <c r="K71" s="476"/>
      <c r="L71" s="476"/>
      <c r="M71" s="476"/>
      <c r="N71" s="476"/>
      <c r="O71" s="58"/>
      <c r="P71" s="58"/>
      <c r="Q71" s="475"/>
      <c r="R71" s="475"/>
      <c r="S71" s="476"/>
      <c r="T71" s="476"/>
      <c r="U71" s="476"/>
      <c r="V71" s="476"/>
      <c r="W71" s="476"/>
      <c r="X71" s="476"/>
      <c r="Y71" s="476"/>
      <c r="Z71" s="476"/>
      <c r="AA71" s="476"/>
      <c r="AB71" s="476"/>
      <c r="AC71" s="68"/>
      <c r="AD71" s="55"/>
      <c r="AE71" s="475"/>
      <c r="AF71" s="475"/>
      <c r="AG71" s="476"/>
      <c r="AH71" s="476"/>
      <c r="AI71" s="476"/>
      <c r="AJ71" s="476"/>
      <c r="AK71" s="476"/>
      <c r="AL71" s="476"/>
      <c r="AM71" s="476"/>
      <c r="AN71" s="476"/>
      <c r="AO71" s="476"/>
      <c r="AP71" s="476"/>
      <c r="AQ71" s="57"/>
      <c r="AR71" s="57"/>
      <c r="AS71" s="57"/>
    </row>
    <row r="72" spans="2:45" ht="18" customHeight="1" x14ac:dyDescent="0.4">
      <c r="C72" s="524"/>
      <c r="D72" s="524"/>
      <c r="E72" s="546"/>
      <c r="F72" s="546"/>
      <c r="G72" s="546"/>
      <c r="H72" s="546"/>
      <c r="I72" s="546"/>
      <c r="J72" s="546"/>
      <c r="K72" s="546"/>
      <c r="L72" s="546"/>
      <c r="M72" s="546"/>
      <c r="N72" s="546"/>
      <c r="O72" s="58"/>
      <c r="P72" s="58"/>
      <c r="Q72" s="524"/>
      <c r="R72" s="524"/>
      <c r="S72" s="546"/>
      <c r="T72" s="546"/>
      <c r="U72" s="546"/>
      <c r="V72" s="546"/>
      <c r="W72" s="546"/>
      <c r="X72" s="546"/>
      <c r="Y72" s="546"/>
      <c r="Z72" s="546"/>
      <c r="AA72" s="546"/>
      <c r="AB72" s="546"/>
      <c r="AC72" s="68"/>
      <c r="AD72" s="58"/>
      <c r="AE72" s="524"/>
      <c r="AF72" s="524"/>
      <c r="AG72" s="546"/>
      <c r="AH72" s="546"/>
      <c r="AI72" s="546"/>
      <c r="AJ72" s="546"/>
      <c r="AK72" s="546"/>
      <c r="AL72" s="546"/>
      <c r="AM72" s="546"/>
      <c r="AN72" s="546"/>
      <c r="AO72" s="546"/>
      <c r="AP72" s="546"/>
    </row>
    <row r="73" spans="2:45" ht="21" customHeight="1" x14ac:dyDescent="0.4">
      <c r="B73" s="56" t="s">
        <v>569</v>
      </c>
    </row>
    <row r="74" spans="2:45" ht="20.25" customHeight="1" x14ac:dyDescent="0.4">
      <c r="B74" s="219"/>
      <c r="C74" s="456" t="s">
        <v>25</v>
      </c>
      <c r="D74" s="456"/>
      <c r="E74" s="456"/>
      <c r="F74" s="458" t="s">
        <v>26</v>
      </c>
      <c r="G74" s="459"/>
      <c r="H74" s="459"/>
      <c r="I74" s="459"/>
      <c r="J74" s="456" t="s">
        <v>27</v>
      </c>
      <c r="K74" s="457"/>
      <c r="L74" s="457"/>
      <c r="M74" s="457"/>
      <c r="N74" s="457"/>
      <c r="O74" s="457"/>
      <c r="P74" s="457"/>
      <c r="Q74" s="456" t="s">
        <v>540</v>
      </c>
      <c r="R74" s="456"/>
      <c r="S74" s="456"/>
      <c r="T74" s="456"/>
      <c r="U74" s="456"/>
      <c r="V74" s="456"/>
      <c r="W74" s="456"/>
      <c r="X74" s="456" t="s">
        <v>27</v>
      </c>
      <c r="Y74" s="457"/>
      <c r="Z74" s="457"/>
      <c r="AA74" s="457"/>
      <c r="AB74" s="457"/>
      <c r="AC74" s="457"/>
      <c r="AD74" s="457"/>
      <c r="AE74" s="458" t="s">
        <v>26</v>
      </c>
      <c r="AF74" s="459"/>
      <c r="AG74" s="459"/>
      <c r="AH74" s="459"/>
      <c r="AI74" s="456" t="s">
        <v>29</v>
      </c>
      <c r="AJ74" s="456"/>
      <c r="AK74" s="457"/>
      <c r="AL74" s="457"/>
      <c r="AM74" s="457"/>
      <c r="AN74" s="457"/>
      <c r="AO74" s="457"/>
      <c r="AP74" s="457"/>
    </row>
    <row r="75" spans="2:45" ht="20.100000000000001" customHeight="1" x14ac:dyDescent="0.4">
      <c r="B75" s="472">
        <v>1</v>
      </c>
      <c r="C75" s="449">
        <v>0.375</v>
      </c>
      <c r="D75" s="449"/>
      <c r="E75" s="449"/>
      <c r="F75" s="443"/>
      <c r="G75" s="444"/>
      <c r="H75" s="444"/>
      <c r="I75" s="444"/>
      <c r="J75" s="445" t="str">
        <f>IFERROR(VLOOKUP(AR75,$C$67:$N$69,3,0),"")&amp;IFERROR(VLOOKUP(AR75,$Q$67:$AB$69,3,0),"")&amp;IFERROR(VLOOKUP(AR75,$AE$67:$AP$69,3,0),"")</f>
        <v>ＦＣアネーロ･U-12</v>
      </c>
      <c r="K75" s="446"/>
      <c r="L75" s="446"/>
      <c r="M75" s="446"/>
      <c r="N75" s="446"/>
      <c r="O75" s="446"/>
      <c r="P75" s="446"/>
      <c r="Q75" s="450" t="str">
        <f t="shared" ref="Q75:Q79" si="28">IF(OR(S75="",S76=""),"",S75+S76)</f>
        <v/>
      </c>
      <c r="R75" s="450"/>
      <c r="S75" s="220"/>
      <c r="T75" s="221" t="s">
        <v>30</v>
      </c>
      <c r="U75" s="220"/>
      <c r="V75" s="450" t="str">
        <f t="shared" ref="V75:V79" si="29">IF(OR(U75="",U76=""),"",U75+U76)</f>
        <v/>
      </c>
      <c r="W75" s="450"/>
      <c r="X75" s="447" t="str">
        <f>IFERROR(VLOOKUP(AS75,$C$67:$N$69,3,0),"")&amp;IFERROR(VLOOKUP(AS75,$Q$67:$AB$69,3,0),"")&amp;IFERROR(VLOOKUP(AS75,$AE$67:$AP$69,3,0),"")</f>
        <v>細谷サッカークラブ</v>
      </c>
      <c r="Y75" s="448"/>
      <c r="Z75" s="448"/>
      <c r="AA75" s="448"/>
      <c r="AB75" s="448"/>
      <c r="AC75" s="448"/>
      <c r="AD75" s="448"/>
      <c r="AE75" s="443"/>
      <c r="AF75" s="444"/>
      <c r="AG75" s="444"/>
      <c r="AH75" s="444"/>
      <c r="AI75" s="450" t="str">
        <f ca="1">DBCS(INDIRECT("U12対戦スケジュール!c"&amp;((ROW()-1)/2+29)))</f>
        <v>５／９／９／５</v>
      </c>
      <c r="AJ75" s="444"/>
      <c r="AK75" s="444"/>
      <c r="AL75" s="444"/>
      <c r="AM75" s="444"/>
      <c r="AN75" s="444"/>
      <c r="AO75" s="444"/>
      <c r="AP75" s="444"/>
      <c r="AR75" s="56">
        <v>6</v>
      </c>
      <c r="AS75" s="56">
        <v>7</v>
      </c>
    </row>
    <row r="76" spans="2:45" ht="20.100000000000001" customHeight="1" x14ac:dyDescent="0.4">
      <c r="B76" s="472"/>
      <c r="C76" s="449"/>
      <c r="D76" s="449"/>
      <c r="E76" s="449"/>
      <c r="F76" s="444"/>
      <c r="G76" s="444"/>
      <c r="H76" s="444"/>
      <c r="I76" s="444"/>
      <c r="J76" s="446"/>
      <c r="K76" s="446"/>
      <c r="L76" s="446"/>
      <c r="M76" s="446"/>
      <c r="N76" s="446"/>
      <c r="O76" s="446"/>
      <c r="P76" s="446"/>
      <c r="Q76" s="450"/>
      <c r="R76" s="450"/>
      <c r="S76" s="220"/>
      <c r="T76" s="221" t="s">
        <v>30</v>
      </c>
      <c r="U76" s="220"/>
      <c r="V76" s="450"/>
      <c r="W76" s="450"/>
      <c r="X76" s="448"/>
      <c r="Y76" s="448"/>
      <c r="Z76" s="448"/>
      <c r="AA76" s="448"/>
      <c r="AB76" s="448"/>
      <c r="AC76" s="448"/>
      <c r="AD76" s="448"/>
      <c r="AE76" s="444"/>
      <c r="AF76" s="444"/>
      <c r="AG76" s="444"/>
      <c r="AH76" s="444"/>
      <c r="AI76" s="444"/>
      <c r="AJ76" s="444"/>
      <c r="AK76" s="444"/>
      <c r="AL76" s="444"/>
      <c r="AM76" s="444"/>
      <c r="AN76" s="444"/>
      <c r="AO76" s="444"/>
      <c r="AP76" s="444"/>
    </row>
    <row r="77" spans="2:45" ht="20.100000000000001" customHeight="1" x14ac:dyDescent="0.4">
      <c r="B77" s="472">
        <v>2</v>
      </c>
      <c r="C77" s="449">
        <v>0.40277777777777773</v>
      </c>
      <c r="D77" s="449">
        <v>0.4375</v>
      </c>
      <c r="E77" s="449"/>
      <c r="F77" s="443"/>
      <c r="G77" s="444"/>
      <c r="H77" s="444"/>
      <c r="I77" s="444"/>
      <c r="J77" s="445" t="str">
        <f t="shared" ref="J77" si="30">IFERROR(VLOOKUP(AR77,$C$67:$N$69,3,0),"")&amp;IFERROR(VLOOKUP(AR77,$Q$67:$AB$69,3,0),"")&amp;IFERROR(VLOOKUP(AR77,$AE$67:$AP$69,3,0),"")</f>
        <v>ともぞうＳＣ U12</v>
      </c>
      <c r="K77" s="446"/>
      <c r="L77" s="446"/>
      <c r="M77" s="446"/>
      <c r="N77" s="446"/>
      <c r="O77" s="446"/>
      <c r="P77" s="446"/>
      <c r="Q77" s="450" t="str">
        <f t="shared" si="28"/>
        <v/>
      </c>
      <c r="R77" s="450"/>
      <c r="S77" s="220"/>
      <c r="T77" s="221" t="s">
        <v>30</v>
      </c>
      <c r="U77" s="220"/>
      <c r="V77" s="450" t="str">
        <f t="shared" si="29"/>
        <v/>
      </c>
      <c r="W77" s="450"/>
      <c r="X77" s="447" t="str">
        <f t="shared" ref="X77" si="31">IFERROR(VLOOKUP(AS77,$C$67:$N$69,3,0),"")&amp;IFERROR(VLOOKUP(AS77,$Q$67:$AB$69,3,0),"")&amp;IFERROR(VLOOKUP(AS77,$AE$67:$AP$69,3,0),"")</f>
        <v>上三川ＦＣ</v>
      </c>
      <c r="Y77" s="448"/>
      <c r="Z77" s="448"/>
      <c r="AA77" s="448"/>
      <c r="AB77" s="448"/>
      <c r="AC77" s="448"/>
      <c r="AD77" s="448"/>
      <c r="AE77" s="443"/>
      <c r="AF77" s="444"/>
      <c r="AG77" s="444"/>
      <c r="AH77" s="444"/>
      <c r="AI77" s="450" t="str">
        <f t="shared" ref="AI77" ca="1" si="32">DBCS(INDIRECT("U12対戦スケジュール!c"&amp;((ROW()-1)/2+29)))</f>
        <v>６／７／７／６</v>
      </c>
      <c r="AJ77" s="444"/>
      <c r="AK77" s="444"/>
      <c r="AL77" s="444"/>
      <c r="AM77" s="444"/>
      <c r="AN77" s="444"/>
      <c r="AO77" s="444"/>
      <c r="AP77" s="444"/>
      <c r="AR77" s="56">
        <v>5</v>
      </c>
      <c r="AS77" s="56">
        <v>9</v>
      </c>
    </row>
    <row r="78" spans="2:45" ht="20.100000000000001" customHeight="1" x14ac:dyDescent="0.4">
      <c r="B78" s="472"/>
      <c r="C78" s="449"/>
      <c r="D78" s="449"/>
      <c r="E78" s="449"/>
      <c r="F78" s="444"/>
      <c r="G78" s="444"/>
      <c r="H78" s="444"/>
      <c r="I78" s="444"/>
      <c r="J78" s="446"/>
      <c r="K78" s="446"/>
      <c r="L78" s="446"/>
      <c r="M78" s="446"/>
      <c r="N78" s="446"/>
      <c r="O78" s="446"/>
      <c r="P78" s="446"/>
      <c r="Q78" s="450"/>
      <c r="R78" s="450"/>
      <c r="S78" s="220"/>
      <c r="T78" s="221" t="s">
        <v>30</v>
      </c>
      <c r="U78" s="220"/>
      <c r="V78" s="450"/>
      <c r="W78" s="450"/>
      <c r="X78" s="448"/>
      <c r="Y78" s="448"/>
      <c r="Z78" s="448"/>
      <c r="AA78" s="448"/>
      <c r="AB78" s="448"/>
      <c r="AC78" s="448"/>
      <c r="AD78" s="448"/>
      <c r="AE78" s="444"/>
      <c r="AF78" s="444"/>
      <c r="AG78" s="444"/>
      <c r="AH78" s="444"/>
      <c r="AI78" s="444"/>
      <c r="AJ78" s="444"/>
      <c r="AK78" s="444"/>
      <c r="AL78" s="444"/>
      <c r="AM78" s="444"/>
      <c r="AN78" s="444"/>
      <c r="AO78" s="444"/>
      <c r="AP78" s="444"/>
    </row>
    <row r="79" spans="2:45" ht="20.100000000000001" customHeight="1" x14ac:dyDescent="0.4">
      <c r="B79" s="472">
        <v>3</v>
      </c>
      <c r="C79" s="449">
        <v>0.43055555555555558</v>
      </c>
      <c r="D79" s="449"/>
      <c r="E79" s="449"/>
      <c r="F79" s="443"/>
      <c r="G79" s="444"/>
      <c r="H79" s="444"/>
      <c r="I79" s="444"/>
      <c r="J79" s="445" t="str">
        <f t="shared" ref="J79" si="33">IFERROR(VLOOKUP(AR79,$C$67:$N$69,3,0),"")&amp;IFERROR(VLOOKUP(AR79,$Q$67:$AB$69,3,0),"")&amp;IFERROR(VLOOKUP(AR79,$AE$67:$AP$69,3,0),"")</f>
        <v>ＦＣグランディール</v>
      </c>
      <c r="K79" s="446"/>
      <c r="L79" s="446"/>
      <c r="M79" s="446"/>
      <c r="N79" s="446"/>
      <c r="O79" s="446"/>
      <c r="P79" s="446"/>
      <c r="Q79" s="450" t="str">
        <f t="shared" si="28"/>
        <v/>
      </c>
      <c r="R79" s="450"/>
      <c r="S79" s="220"/>
      <c r="T79" s="221" t="s">
        <v>30</v>
      </c>
      <c r="U79" s="220"/>
      <c r="V79" s="450" t="str">
        <f t="shared" si="29"/>
        <v/>
      </c>
      <c r="W79" s="450"/>
      <c r="X79" s="447" t="str">
        <f t="shared" ref="X79" si="34">IFERROR(VLOOKUP(AS79,$C$67:$N$69,3,0),"")&amp;IFERROR(VLOOKUP(AS79,$Q$67:$AB$69,3,0),"")&amp;IFERROR(VLOOKUP(AS79,$AE$67:$AP$69,3,0),"")</f>
        <v>ＦＣアネーロ･U-12</v>
      </c>
      <c r="Y79" s="448"/>
      <c r="Z79" s="448"/>
      <c r="AA79" s="448"/>
      <c r="AB79" s="448"/>
      <c r="AC79" s="448"/>
      <c r="AD79" s="448"/>
      <c r="AE79" s="443"/>
      <c r="AF79" s="444"/>
      <c r="AG79" s="444"/>
      <c r="AH79" s="444"/>
      <c r="AI79" s="450" t="str">
        <f t="shared" ref="AI79" ca="1" si="35">DBCS(INDIRECT("U12対戦スケジュール!c"&amp;((ROW()-1)/2+29)))</f>
        <v>１／５／５／１</v>
      </c>
      <c r="AJ79" s="444"/>
      <c r="AK79" s="444"/>
      <c r="AL79" s="444"/>
      <c r="AM79" s="444"/>
      <c r="AN79" s="444"/>
      <c r="AO79" s="444"/>
      <c r="AP79" s="444"/>
      <c r="AR79" s="56">
        <v>2</v>
      </c>
      <c r="AS79" s="56">
        <v>6</v>
      </c>
    </row>
    <row r="80" spans="2:45" ht="20.100000000000001" customHeight="1" x14ac:dyDescent="0.4">
      <c r="B80" s="472"/>
      <c r="C80" s="449"/>
      <c r="D80" s="449"/>
      <c r="E80" s="449"/>
      <c r="F80" s="444"/>
      <c r="G80" s="444"/>
      <c r="H80" s="444"/>
      <c r="I80" s="444"/>
      <c r="J80" s="446"/>
      <c r="K80" s="446"/>
      <c r="L80" s="446"/>
      <c r="M80" s="446"/>
      <c r="N80" s="446"/>
      <c r="O80" s="446"/>
      <c r="P80" s="446"/>
      <c r="Q80" s="450"/>
      <c r="R80" s="450"/>
      <c r="S80" s="220"/>
      <c r="T80" s="221" t="s">
        <v>30</v>
      </c>
      <c r="U80" s="220"/>
      <c r="V80" s="450"/>
      <c r="W80" s="450"/>
      <c r="X80" s="448"/>
      <c r="Y80" s="448"/>
      <c r="Z80" s="448"/>
      <c r="AA80" s="448"/>
      <c r="AB80" s="448"/>
      <c r="AC80" s="448"/>
      <c r="AD80" s="448"/>
      <c r="AE80" s="444"/>
      <c r="AF80" s="444"/>
      <c r="AG80" s="444"/>
      <c r="AH80" s="444"/>
      <c r="AI80" s="444"/>
      <c r="AJ80" s="444"/>
      <c r="AK80" s="444"/>
      <c r="AL80" s="444"/>
      <c r="AM80" s="444"/>
      <c r="AN80" s="444"/>
      <c r="AO80" s="444"/>
      <c r="AP80" s="444"/>
    </row>
    <row r="81" spans="1:45" ht="20.100000000000001" customHeight="1" x14ac:dyDescent="0.4">
      <c r="B81" s="472">
        <v>4</v>
      </c>
      <c r="C81" s="449">
        <v>0.45833333333333331</v>
      </c>
      <c r="D81" s="449">
        <v>0.4375</v>
      </c>
      <c r="E81" s="449"/>
      <c r="F81" s="443"/>
      <c r="G81" s="444"/>
      <c r="H81" s="444"/>
      <c r="I81" s="444"/>
      <c r="J81" s="445" t="str">
        <f t="shared" ref="J81" si="36">IFERROR(VLOOKUP(AR81,$C$67:$N$69,3,0),"")&amp;IFERROR(VLOOKUP(AR81,$Q$67:$AB$69,3,0),"")&amp;IFERROR(VLOOKUP(AR81,$AE$67:$AP$69,3,0),"")</f>
        <v>清原ＳＳＳ</v>
      </c>
      <c r="K81" s="446"/>
      <c r="L81" s="446"/>
      <c r="M81" s="446"/>
      <c r="N81" s="446"/>
      <c r="O81" s="446"/>
      <c r="P81" s="446"/>
      <c r="Q81" s="450" t="str">
        <f t="shared" ref="Q81:Q85" si="37">IF(OR(S81="",S82=""),"",S81+S82)</f>
        <v/>
      </c>
      <c r="R81" s="450"/>
      <c r="S81" s="220"/>
      <c r="T81" s="221" t="s">
        <v>30</v>
      </c>
      <c r="U81" s="220"/>
      <c r="V81" s="450" t="str">
        <f t="shared" ref="V81:V85" si="38">IF(OR(U81="",U82=""),"",U81+U82)</f>
        <v/>
      </c>
      <c r="W81" s="450"/>
      <c r="X81" s="447" t="str">
        <f t="shared" ref="X81" si="39">IFERROR(VLOOKUP(AS81,$C$67:$N$69,3,0),"")&amp;IFERROR(VLOOKUP(AS81,$Q$67:$AB$69,3,0),"")&amp;IFERROR(VLOOKUP(AS81,$AE$67:$AP$69,3,0),"")</f>
        <v>ともぞうＳＣ U12</v>
      </c>
      <c r="Y81" s="448"/>
      <c r="Z81" s="448"/>
      <c r="AA81" s="448"/>
      <c r="AB81" s="448"/>
      <c r="AC81" s="448"/>
      <c r="AD81" s="448"/>
      <c r="AE81" s="443"/>
      <c r="AF81" s="444"/>
      <c r="AG81" s="444"/>
      <c r="AH81" s="444"/>
      <c r="AI81" s="450" t="str">
        <f t="shared" ref="AI81" ca="1" si="40">DBCS(INDIRECT("U12対戦スケジュール!c"&amp;((ROW()-1)/2+29)))</f>
        <v>２／６／６／２</v>
      </c>
      <c r="AJ81" s="444"/>
      <c r="AK81" s="444"/>
      <c r="AL81" s="444"/>
      <c r="AM81" s="444"/>
      <c r="AN81" s="444"/>
      <c r="AO81" s="444"/>
      <c r="AP81" s="444"/>
      <c r="AR81" s="56">
        <v>1</v>
      </c>
      <c r="AS81" s="56">
        <v>5</v>
      </c>
    </row>
    <row r="82" spans="1:45" ht="20.100000000000001" customHeight="1" x14ac:dyDescent="0.4">
      <c r="B82" s="472"/>
      <c r="C82" s="449"/>
      <c r="D82" s="449"/>
      <c r="E82" s="449"/>
      <c r="F82" s="444"/>
      <c r="G82" s="444"/>
      <c r="H82" s="444"/>
      <c r="I82" s="444"/>
      <c r="J82" s="446"/>
      <c r="K82" s="446"/>
      <c r="L82" s="446"/>
      <c r="M82" s="446"/>
      <c r="N82" s="446"/>
      <c r="O82" s="446"/>
      <c r="P82" s="446"/>
      <c r="Q82" s="450"/>
      <c r="R82" s="450"/>
      <c r="S82" s="220"/>
      <c r="T82" s="221" t="s">
        <v>30</v>
      </c>
      <c r="U82" s="220"/>
      <c r="V82" s="450"/>
      <c r="W82" s="450"/>
      <c r="X82" s="448"/>
      <c r="Y82" s="448"/>
      <c r="Z82" s="448"/>
      <c r="AA82" s="448"/>
      <c r="AB82" s="448"/>
      <c r="AC82" s="448"/>
      <c r="AD82" s="448"/>
      <c r="AE82" s="444"/>
      <c r="AF82" s="444"/>
      <c r="AG82" s="444"/>
      <c r="AH82" s="444"/>
      <c r="AI82" s="444"/>
      <c r="AJ82" s="444"/>
      <c r="AK82" s="444"/>
      <c r="AL82" s="444"/>
      <c r="AM82" s="444"/>
      <c r="AN82" s="444"/>
      <c r="AO82" s="444"/>
      <c r="AP82" s="444"/>
    </row>
    <row r="83" spans="1:45" ht="20.100000000000001" customHeight="1" x14ac:dyDescent="0.4">
      <c r="B83" s="472">
        <v>5</v>
      </c>
      <c r="C83" s="449">
        <v>0.4861111111111111</v>
      </c>
      <c r="D83" s="449"/>
      <c r="E83" s="449"/>
      <c r="F83" s="443"/>
      <c r="G83" s="444"/>
      <c r="H83" s="444"/>
      <c r="I83" s="444"/>
      <c r="J83" s="445" t="str">
        <f t="shared" ref="J83" si="41">IFERROR(VLOOKUP(AR83,$C$67:$N$69,3,0),"")&amp;IFERROR(VLOOKUP(AR83,$Q$67:$AB$69,3,0),"")&amp;IFERROR(VLOOKUP(AR83,$AE$67:$AP$69,3,0),"")</f>
        <v>細谷サッカークラブ</v>
      </c>
      <c r="K83" s="446"/>
      <c r="L83" s="446"/>
      <c r="M83" s="446"/>
      <c r="N83" s="446"/>
      <c r="O83" s="446"/>
      <c r="P83" s="446"/>
      <c r="Q83" s="450" t="str">
        <f t="shared" si="37"/>
        <v/>
      </c>
      <c r="R83" s="450"/>
      <c r="S83" s="220"/>
      <c r="T83" s="221" t="s">
        <v>30</v>
      </c>
      <c r="U83" s="220"/>
      <c r="V83" s="450" t="str">
        <f t="shared" si="38"/>
        <v/>
      </c>
      <c r="W83" s="450"/>
      <c r="X83" s="447" t="str">
        <f t="shared" ref="X83" si="42">IFERROR(VLOOKUP(AS83,$C$67:$N$69,3,0),"")&amp;IFERROR(VLOOKUP(AS83,$Q$67:$AB$69,3,0),"")&amp;IFERROR(VLOOKUP(AS83,$AE$67:$AP$69,3,0),"")</f>
        <v>ＦＣグランディール</v>
      </c>
      <c r="Y83" s="448"/>
      <c r="Z83" s="448"/>
      <c r="AA83" s="448"/>
      <c r="AB83" s="448"/>
      <c r="AC83" s="448"/>
      <c r="AD83" s="448"/>
      <c r="AE83" s="443"/>
      <c r="AF83" s="444"/>
      <c r="AG83" s="444"/>
      <c r="AH83" s="444"/>
      <c r="AI83" s="450" t="str">
        <f t="shared" ref="AI83" ca="1" si="43">DBCS(INDIRECT("U12対戦スケジュール!c"&amp;((ROW()-1)/2+29)))</f>
        <v>９／１／１／９</v>
      </c>
      <c r="AJ83" s="444"/>
      <c r="AK83" s="444"/>
      <c r="AL83" s="444"/>
      <c r="AM83" s="444"/>
      <c r="AN83" s="444"/>
      <c r="AO83" s="444"/>
      <c r="AP83" s="444"/>
      <c r="AR83" s="56">
        <v>7</v>
      </c>
      <c r="AS83" s="56">
        <v>2</v>
      </c>
    </row>
    <row r="84" spans="1:45" ht="20.100000000000001" customHeight="1" x14ac:dyDescent="0.4">
      <c r="B84" s="472"/>
      <c r="C84" s="449"/>
      <c r="D84" s="449"/>
      <c r="E84" s="449"/>
      <c r="F84" s="444"/>
      <c r="G84" s="444"/>
      <c r="H84" s="444"/>
      <c r="I84" s="444"/>
      <c r="J84" s="446"/>
      <c r="K84" s="446"/>
      <c r="L84" s="446"/>
      <c r="M84" s="446"/>
      <c r="N84" s="446"/>
      <c r="O84" s="446"/>
      <c r="P84" s="446"/>
      <c r="Q84" s="450"/>
      <c r="R84" s="450"/>
      <c r="S84" s="220"/>
      <c r="T84" s="221" t="s">
        <v>30</v>
      </c>
      <c r="U84" s="220"/>
      <c r="V84" s="450"/>
      <c r="W84" s="450"/>
      <c r="X84" s="448"/>
      <c r="Y84" s="448"/>
      <c r="Z84" s="448"/>
      <c r="AA84" s="448"/>
      <c r="AB84" s="448"/>
      <c r="AC84" s="448"/>
      <c r="AD84" s="448"/>
      <c r="AE84" s="444"/>
      <c r="AF84" s="444"/>
      <c r="AG84" s="444"/>
      <c r="AH84" s="444"/>
      <c r="AI84" s="444"/>
      <c r="AJ84" s="444"/>
      <c r="AK84" s="444"/>
      <c r="AL84" s="444"/>
      <c r="AM84" s="444"/>
      <c r="AN84" s="444"/>
      <c r="AO84" s="444"/>
      <c r="AP84" s="444"/>
    </row>
    <row r="85" spans="1:45" ht="20.100000000000001" customHeight="1" x14ac:dyDescent="0.4">
      <c r="B85" s="472">
        <v>6</v>
      </c>
      <c r="C85" s="449">
        <v>0.51388888888888895</v>
      </c>
      <c r="D85" s="449">
        <v>0.4375</v>
      </c>
      <c r="E85" s="449"/>
      <c r="F85" s="443"/>
      <c r="G85" s="444"/>
      <c r="H85" s="444"/>
      <c r="I85" s="444"/>
      <c r="J85" s="445" t="str">
        <f t="shared" ref="J85" si="44">IFERROR(VLOOKUP(AR85,$C$67:$N$69,3,0),"")&amp;IFERROR(VLOOKUP(AR85,$Q$67:$AB$69,3,0),"")&amp;IFERROR(VLOOKUP(AR85,$AE$67:$AP$69,3,0),"")</f>
        <v>上三川ＦＣ</v>
      </c>
      <c r="K85" s="446"/>
      <c r="L85" s="446"/>
      <c r="M85" s="446"/>
      <c r="N85" s="446"/>
      <c r="O85" s="446"/>
      <c r="P85" s="446"/>
      <c r="Q85" s="450" t="str">
        <f t="shared" si="37"/>
        <v/>
      </c>
      <c r="R85" s="450"/>
      <c r="S85" s="220"/>
      <c r="T85" s="221" t="s">
        <v>30</v>
      </c>
      <c r="U85" s="220"/>
      <c r="V85" s="450" t="str">
        <f t="shared" si="38"/>
        <v/>
      </c>
      <c r="W85" s="450"/>
      <c r="X85" s="447" t="str">
        <f t="shared" ref="X85" si="45">IFERROR(VLOOKUP(AS85,$C$67:$N$69,3,0),"")&amp;IFERROR(VLOOKUP(AS85,$Q$67:$AB$69,3,0),"")&amp;IFERROR(VLOOKUP(AS85,$AE$67:$AP$69,3,0),"")</f>
        <v>清原ＳＳＳ</v>
      </c>
      <c r="Y85" s="448"/>
      <c r="Z85" s="448"/>
      <c r="AA85" s="448"/>
      <c r="AB85" s="448"/>
      <c r="AC85" s="448"/>
      <c r="AD85" s="448"/>
      <c r="AE85" s="443"/>
      <c r="AF85" s="444"/>
      <c r="AG85" s="444"/>
      <c r="AH85" s="444"/>
      <c r="AI85" s="450" t="str">
        <f t="shared" ref="AI85" ca="1" si="46">DBCS(INDIRECT("U12対戦スケジュール!c"&amp;((ROW()-1)/2+29)))</f>
        <v>７／２／２／７</v>
      </c>
      <c r="AJ85" s="444"/>
      <c r="AK85" s="444"/>
      <c r="AL85" s="444"/>
      <c r="AM85" s="444"/>
      <c r="AN85" s="444"/>
      <c r="AO85" s="444"/>
      <c r="AP85" s="444"/>
      <c r="AR85" s="56">
        <v>9</v>
      </c>
      <c r="AS85" s="56">
        <v>1</v>
      </c>
    </row>
    <row r="86" spans="1:45" ht="20.100000000000001" customHeight="1" x14ac:dyDescent="0.4">
      <c r="B86" s="472"/>
      <c r="C86" s="449"/>
      <c r="D86" s="449"/>
      <c r="E86" s="449"/>
      <c r="F86" s="444"/>
      <c r="G86" s="444"/>
      <c r="H86" s="444"/>
      <c r="I86" s="444"/>
      <c r="J86" s="446"/>
      <c r="K86" s="446"/>
      <c r="L86" s="446"/>
      <c r="M86" s="446"/>
      <c r="N86" s="446"/>
      <c r="O86" s="446"/>
      <c r="P86" s="446"/>
      <c r="Q86" s="450"/>
      <c r="R86" s="450"/>
      <c r="S86" s="220"/>
      <c r="T86" s="221" t="s">
        <v>30</v>
      </c>
      <c r="U86" s="220"/>
      <c r="V86" s="450"/>
      <c r="W86" s="450"/>
      <c r="X86" s="448"/>
      <c r="Y86" s="448"/>
      <c r="Z86" s="448"/>
      <c r="AA86" s="448"/>
      <c r="AB86" s="448"/>
      <c r="AC86" s="448"/>
      <c r="AD86" s="448"/>
      <c r="AE86" s="444"/>
      <c r="AF86" s="444"/>
      <c r="AG86" s="444"/>
      <c r="AH86" s="444"/>
      <c r="AI86" s="444"/>
      <c r="AJ86" s="444"/>
      <c r="AK86" s="444"/>
      <c r="AL86" s="444"/>
      <c r="AM86" s="444"/>
      <c r="AN86" s="444"/>
      <c r="AO86" s="444"/>
      <c r="AP86" s="444"/>
    </row>
    <row r="87" spans="1:45" ht="20.100000000000001" hidden="1" customHeight="1" thickBot="1" x14ac:dyDescent="0.45">
      <c r="B87" s="573">
        <v>7</v>
      </c>
      <c r="C87" s="535">
        <v>0.58333333333333304</v>
      </c>
      <c r="D87" s="536"/>
      <c r="E87" s="537"/>
      <c r="F87" s="547"/>
      <c r="G87" s="548"/>
      <c r="H87" s="548"/>
      <c r="I87" s="549"/>
      <c r="J87" s="553" t="str">
        <f>IFERROR(VLOOKUP(AR87,$C$67:$N$69,3,0),"")&amp;IFERROR(VLOOKUP(AR87,$Q$67:$AB$69,3,0),"")&amp;IFERROR(VLOOKUP(AR87,$AE$67:$AP$69,3,0),"")</f>
        <v/>
      </c>
      <c r="K87" s="554"/>
      <c r="L87" s="554"/>
      <c r="M87" s="554"/>
      <c r="N87" s="554"/>
      <c r="O87" s="554"/>
      <c r="P87" s="555"/>
      <c r="Q87" s="563" t="str">
        <f>IF(OR(S87="",S88=""),"",S87+S88)</f>
        <v/>
      </c>
      <c r="R87" s="564"/>
      <c r="S87" s="228"/>
      <c r="T87" s="229" t="s">
        <v>30</v>
      </c>
      <c r="U87" s="228"/>
      <c r="V87" s="563" t="str">
        <f>IF(OR(U87="",U88=""),"",U87+U88)</f>
        <v/>
      </c>
      <c r="W87" s="564"/>
      <c r="X87" s="559" t="str">
        <f>IFERROR(VLOOKUP(AS87,$C$67:$N$69,3,0),"")&amp;IFERROR(VLOOKUP(AS87,$Q$67:$AB$69,3,0),"")&amp;IFERROR(VLOOKUP(AS87,$AE$67:$AP$69,3,0),"")</f>
        <v/>
      </c>
      <c r="Y87" s="554"/>
      <c r="Z87" s="554"/>
      <c r="AA87" s="554"/>
      <c r="AB87" s="554"/>
      <c r="AC87" s="554"/>
      <c r="AD87" s="560"/>
      <c r="AE87" s="547"/>
      <c r="AF87" s="548"/>
      <c r="AG87" s="548"/>
      <c r="AH87" s="549"/>
      <c r="AI87" s="567" t="str">
        <f ca="1">DBCS(INDIRECT("U12対戦スケジュール!c"&amp;((ROW()-1)/2+26)))</f>
        <v>２／６／６／２</v>
      </c>
      <c r="AJ87" s="568"/>
      <c r="AK87" s="568"/>
      <c r="AL87" s="568"/>
      <c r="AM87" s="568"/>
      <c r="AN87" s="568"/>
      <c r="AO87" s="568"/>
      <c r="AP87" s="569"/>
    </row>
    <row r="88" spans="1:45" ht="20.100000000000001" hidden="1" customHeight="1" thickBot="1" x14ac:dyDescent="0.45">
      <c r="B88" s="574"/>
      <c r="C88" s="538"/>
      <c r="D88" s="539"/>
      <c r="E88" s="540"/>
      <c r="F88" s="550"/>
      <c r="G88" s="551"/>
      <c r="H88" s="551"/>
      <c r="I88" s="552"/>
      <c r="J88" s="556"/>
      <c r="K88" s="557"/>
      <c r="L88" s="557"/>
      <c r="M88" s="557"/>
      <c r="N88" s="557"/>
      <c r="O88" s="557"/>
      <c r="P88" s="558"/>
      <c r="Q88" s="565"/>
      <c r="R88" s="566"/>
      <c r="S88" s="67"/>
      <c r="T88" s="131" t="s">
        <v>30</v>
      </c>
      <c r="U88" s="67"/>
      <c r="V88" s="565"/>
      <c r="W88" s="566"/>
      <c r="X88" s="561"/>
      <c r="Y88" s="557"/>
      <c r="Z88" s="557"/>
      <c r="AA88" s="557"/>
      <c r="AB88" s="557"/>
      <c r="AC88" s="557"/>
      <c r="AD88" s="562"/>
      <c r="AE88" s="550"/>
      <c r="AF88" s="551"/>
      <c r="AG88" s="551"/>
      <c r="AH88" s="552"/>
      <c r="AI88" s="570"/>
      <c r="AJ88" s="571"/>
      <c r="AK88" s="571"/>
      <c r="AL88" s="571"/>
      <c r="AM88" s="571"/>
      <c r="AN88" s="571"/>
      <c r="AO88" s="571"/>
      <c r="AP88" s="572"/>
    </row>
    <row r="89" spans="1:45" s="55" customFormat="1" ht="15.75" customHeight="1" x14ac:dyDescent="0.4">
      <c r="A89" s="58"/>
      <c r="B89" s="59"/>
      <c r="C89" s="60"/>
      <c r="D89" s="60"/>
      <c r="E89" s="60"/>
      <c r="F89" s="59"/>
      <c r="G89" s="59"/>
      <c r="H89" s="59"/>
      <c r="I89" s="59"/>
      <c r="J89" s="59"/>
      <c r="K89" s="61"/>
      <c r="L89" s="61"/>
      <c r="M89" s="62"/>
      <c r="N89" s="63"/>
      <c r="O89" s="62"/>
      <c r="P89" s="61"/>
      <c r="Q89" s="61"/>
      <c r="R89" s="59"/>
      <c r="S89" s="59"/>
      <c r="T89" s="59"/>
      <c r="U89" s="59"/>
      <c r="V89" s="59"/>
      <c r="W89" s="66"/>
      <c r="X89" s="66"/>
      <c r="Y89" s="66"/>
      <c r="Z89" s="66"/>
      <c r="AA89" s="66"/>
      <c r="AB89" s="66"/>
      <c r="AC89" s="58"/>
    </row>
    <row r="90" spans="1:45" ht="20.25" customHeight="1" x14ac:dyDescent="0.4">
      <c r="D90" s="477" t="s">
        <v>31</v>
      </c>
      <c r="E90" s="477"/>
      <c r="F90" s="477"/>
      <c r="G90" s="477"/>
      <c r="H90" s="477"/>
      <c r="I90" s="477"/>
      <c r="J90" s="477" t="s">
        <v>27</v>
      </c>
      <c r="K90" s="477"/>
      <c r="L90" s="477"/>
      <c r="M90" s="477"/>
      <c r="N90" s="477"/>
      <c r="O90" s="477"/>
      <c r="P90" s="477"/>
      <c r="Q90" s="477"/>
      <c r="R90" s="478" t="s">
        <v>32</v>
      </c>
      <c r="S90" s="478"/>
      <c r="T90" s="478"/>
      <c r="U90" s="478"/>
      <c r="V90" s="478"/>
      <c r="W90" s="478"/>
      <c r="X90" s="478"/>
      <c r="Y90" s="478"/>
      <c r="Z90" s="478"/>
      <c r="AA90" s="479" t="s">
        <v>33</v>
      </c>
      <c r="AB90" s="479"/>
      <c r="AC90" s="479"/>
      <c r="AD90" s="479" t="s">
        <v>34</v>
      </c>
      <c r="AE90" s="479"/>
      <c r="AF90" s="479"/>
      <c r="AG90" s="479"/>
      <c r="AH90" s="479"/>
      <c r="AI90" s="479"/>
      <c r="AJ90" s="479"/>
      <c r="AK90" s="479"/>
      <c r="AL90" s="479"/>
      <c r="AM90" s="479"/>
    </row>
    <row r="91" spans="1:45" ht="30" customHeight="1" x14ac:dyDescent="0.4">
      <c r="D91" s="477" t="s">
        <v>35</v>
      </c>
      <c r="E91" s="477"/>
      <c r="F91" s="477"/>
      <c r="G91" s="477"/>
      <c r="H91" s="477"/>
      <c r="I91" s="477"/>
      <c r="J91" s="477"/>
      <c r="K91" s="477"/>
      <c r="L91" s="477"/>
      <c r="M91" s="477"/>
      <c r="N91" s="477"/>
      <c r="O91" s="477"/>
      <c r="P91" s="477"/>
      <c r="Q91" s="477"/>
      <c r="R91" s="478"/>
      <c r="S91" s="478"/>
      <c r="T91" s="478"/>
      <c r="U91" s="478"/>
      <c r="V91" s="478"/>
      <c r="W91" s="478"/>
      <c r="X91" s="478"/>
      <c r="Y91" s="478"/>
      <c r="Z91" s="478"/>
      <c r="AA91" s="481"/>
      <c r="AB91" s="481"/>
      <c r="AC91" s="481"/>
      <c r="AD91" s="480"/>
      <c r="AE91" s="480"/>
      <c r="AF91" s="480"/>
      <c r="AG91" s="480"/>
      <c r="AH91" s="480"/>
      <c r="AI91" s="480"/>
      <c r="AJ91" s="480"/>
      <c r="AK91" s="480"/>
      <c r="AL91" s="480"/>
      <c r="AM91" s="480"/>
    </row>
    <row r="92" spans="1:45" ht="30" customHeight="1" x14ac:dyDescent="0.4">
      <c r="D92" s="477" t="s">
        <v>35</v>
      </c>
      <c r="E92" s="477"/>
      <c r="F92" s="477"/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77"/>
      <c r="R92" s="478"/>
      <c r="S92" s="478"/>
      <c r="T92" s="478"/>
      <c r="U92" s="478"/>
      <c r="V92" s="478"/>
      <c r="W92" s="478"/>
      <c r="X92" s="478"/>
      <c r="Y92" s="478"/>
      <c r="Z92" s="478"/>
      <c r="AA92" s="479"/>
      <c r="AB92" s="479"/>
      <c r="AC92" s="479"/>
      <c r="AD92" s="480"/>
      <c r="AE92" s="480"/>
      <c r="AF92" s="480"/>
      <c r="AG92" s="480"/>
      <c r="AH92" s="480"/>
      <c r="AI92" s="480"/>
      <c r="AJ92" s="480"/>
      <c r="AK92" s="480"/>
      <c r="AL92" s="480"/>
      <c r="AM92" s="480"/>
    </row>
    <row r="93" spans="1:45" ht="30" customHeight="1" x14ac:dyDescent="0.4">
      <c r="D93" s="477" t="s">
        <v>35</v>
      </c>
      <c r="E93" s="477"/>
      <c r="F93" s="477"/>
      <c r="G93" s="477"/>
      <c r="H93" s="477"/>
      <c r="I93" s="477"/>
      <c r="J93" s="477"/>
      <c r="K93" s="477"/>
      <c r="L93" s="477"/>
      <c r="M93" s="477"/>
      <c r="N93" s="477"/>
      <c r="O93" s="477"/>
      <c r="P93" s="477"/>
      <c r="Q93" s="477"/>
      <c r="R93" s="478"/>
      <c r="S93" s="478"/>
      <c r="T93" s="478"/>
      <c r="U93" s="478"/>
      <c r="V93" s="478"/>
      <c r="W93" s="478"/>
      <c r="X93" s="478"/>
      <c r="Y93" s="478"/>
      <c r="Z93" s="478"/>
      <c r="AA93" s="479"/>
      <c r="AB93" s="479"/>
      <c r="AC93" s="479"/>
      <c r="AD93" s="480"/>
      <c r="AE93" s="480"/>
      <c r="AF93" s="480"/>
      <c r="AG93" s="480"/>
      <c r="AH93" s="480"/>
      <c r="AI93" s="480"/>
      <c r="AJ93" s="480"/>
      <c r="AK93" s="480"/>
      <c r="AL93" s="480"/>
      <c r="AM93" s="480"/>
    </row>
    <row r="94" spans="1:45" ht="14.25" customHeight="1" x14ac:dyDescent="0.4">
      <c r="A94" s="451" t="s">
        <v>567</v>
      </c>
      <c r="B94" s="451"/>
      <c r="C94" s="451"/>
      <c r="D94" s="451"/>
      <c r="E94" s="451"/>
      <c r="F94" s="451"/>
      <c r="G94" s="451"/>
      <c r="H94" s="451"/>
      <c r="I94" s="451"/>
      <c r="J94" s="451"/>
      <c r="K94" s="451"/>
      <c r="L94" s="451"/>
      <c r="M94" s="451"/>
      <c r="N94" s="451"/>
      <c r="O94" s="451"/>
      <c r="P94" s="451"/>
      <c r="Q94" s="451"/>
      <c r="R94" s="451"/>
      <c r="S94" s="451"/>
      <c r="T94" s="451"/>
      <c r="U94" s="451"/>
      <c r="V94" s="451"/>
      <c r="W94" s="451"/>
      <c r="X94" s="451"/>
      <c r="Y94" s="451"/>
      <c r="Z94" s="451"/>
      <c r="AA94" s="451"/>
      <c r="AB94" s="451"/>
      <c r="AC94" s="451"/>
      <c r="AD94" s="451"/>
      <c r="AE94" s="451"/>
      <c r="AF94" s="451"/>
      <c r="AG94" s="451"/>
      <c r="AH94" s="451"/>
      <c r="AI94" s="451"/>
      <c r="AJ94" s="451"/>
      <c r="AK94" s="451"/>
      <c r="AL94" s="451"/>
      <c r="AM94" s="451"/>
      <c r="AN94" s="451"/>
      <c r="AO94" s="451"/>
      <c r="AP94" s="451"/>
      <c r="AQ94" s="451"/>
      <c r="AR94" s="142"/>
      <c r="AS94" s="142"/>
    </row>
    <row r="95" spans="1:45" ht="14.25" customHeight="1" x14ac:dyDescent="0.4">
      <c r="A95" s="451"/>
      <c r="B95" s="451"/>
      <c r="C95" s="451"/>
      <c r="D95" s="451"/>
      <c r="E95" s="451"/>
      <c r="F95" s="451"/>
      <c r="G95" s="451"/>
      <c r="H95" s="451"/>
      <c r="I95" s="451"/>
      <c r="J95" s="451"/>
      <c r="K95" s="451"/>
      <c r="L95" s="451"/>
      <c r="M95" s="451"/>
      <c r="N95" s="451"/>
      <c r="O95" s="451"/>
      <c r="P95" s="451"/>
      <c r="Q95" s="451"/>
      <c r="R95" s="451"/>
      <c r="S95" s="451"/>
      <c r="T95" s="451"/>
      <c r="U95" s="451"/>
      <c r="V95" s="451"/>
      <c r="W95" s="451"/>
      <c r="X95" s="451"/>
      <c r="Y95" s="451"/>
      <c r="Z95" s="451"/>
      <c r="AA95" s="451"/>
      <c r="AB95" s="451"/>
      <c r="AC95" s="451"/>
      <c r="AD95" s="451"/>
      <c r="AE95" s="451"/>
      <c r="AF95" s="451"/>
      <c r="AG95" s="451"/>
      <c r="AH95" s="451"/>
      <c r="AI95" s="451"/>
      <c r="AJ95" s="451"/>
      <c r="AK95" s="451"/>
      <c r="AL95" s="451"/>
      <c r="AM95" s="451"/>
      <c r="AN95" s="451"/>
      <c r="AO95" s="451"/>
      <c r="AP95" s="451"/>
      <c r="AQ95" s="451"/>
      <c r="AR95" s="142"/>
      <c r="AS95" s="142"/>
    </row>
    <row r="96" spans="1:45" ht="27.75" customHeight="1" x14ac:dyDescent="0.4">
      <c r="C96" s="460" t="s">
        <v>8</v>
      </c>
      <c r="D96" s="460"/>
      <c r="E96" s="460"/>
      <c r="F96" s="460"/>
      <c r="G96" s="482" t="str">
        <f>U12対戦スケジュール!B86</f>
        <v>石井緑地 No.５</v>
      </c>
      <c r="H96" s="483"/>
      <c r="I96" s="483"/>
      <c r="J96" s="483"/>
      <c r="K96" s="483"/>
      <c r="L96" s="483"/>
      <c r="M96" s="483"/>
      <c r="N96" s="483"/>
      <c r="O96" s="483"/>
      <c r="P96" s="460" t="s">
        <v>0</v>
      </c>
      <c r="Q96" s="460"/>
      <c r="R96" s="460"/>
      <c r="S96" s="460"/>
      <c r="T96" s="482" t="str">
        <f>U12対戦スケジュール!B87</f>
        <v>上三川ＦＣ</v>
      </c>
      <c r="U96" s="483"/>
      <c r="V96" s="483"/>
      <c r="W96" s="483"/>
      <c r="X96" s="483"/>
      <c r="Y96" s="483"/>
      <c r="Z96" s="483"/>
      <c r="AA96" s="483"/>
      <c r="AB96" s="483"/>
      <c r="AC96" s="460" t="s">
        <v>9</v>
      </c>
      <c r="AD96" s="460"/>
      <c r="AE96" s="460"/>
      <c r="AF96" s="460"/>
      <c r="AG96" s="484">
        <f>U12組合せ!$B44</f>
        <v>43752</v>
      </c>
      <c r="AH96" s="485"/>
      <c r="AI96" s="485"/>
      <c r="AJ96" s="485"/>
      <c r="AK96" s="485"/>
      <c r="AL96" s="485"/>
      <c r="AM96" s="488" t="str">
        <f>"（"&amp;TEXT(AG96,"aaa")&amp;"）"</f>
        <v>（月）</v>
      </c>
      <c r="AN96" s="488"/>
      <c r="AO96" s="489"/>
    </row>
    <row r="97" spans="2:45" ht="15" customHeight="1" x14ac:dyDescent="0.4"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64"/>
      <c r="X97" s="64"/>
      <c r="Y97" s="64"/>
      <c r="Z97" s="64"/>
      <c r="AA97" s="64"/>
      <c r="AB97" s="64"/>
      <c r="AC97" s="64"/>
    </row>
    <row r="98" spans="2:45" ht="18" customHeight="1" x14ac:dyDescent="0.4">
      <c r="C98" s="475">
        <v>1</v>
      </c>
      <c r="D98" s="475"/>
      <c r="E98" s="476" t="str">
        <f>U12組合せ!$H$14</f>
        <v>清原ＳＳＳ</v>
      </c>
      <c r="F98" s="476"/>
      <c r="G98" s="476"/>
      <c r="H98" s="476"/>
      <c r="I98" s="476"/>
      <c r="J98" s="476"/>
      <c r="K98" s="476"/>
      <c r="L98" s="476"/>
      <c r="M98" s="476"/>
      <c r="N98" s="476"/>
      <c r="O98" s="58"/>
      <c r="P98" s="58"/>
      <c r="Q98" s="475">
        <v>2</v>
      </c>
      <c r="R98" s="475"/>
      <c r="S98" s="476" t="str">
        <f>U12組合せ!$H$15</f>
        <v>ＦＣグランディール</v>
      </c>
      <c r="T98" s="476"/>
      <c r="U98" s="476"/>
      <c r="V98" s="476"/>
      <c r="W98" s="476"/>
      <c r="X98" s="476"/>
      <c r="Y98" s="476"/>
      <c r="Z98" s="476"/>
      <c r="AA98" s="476"/>
      <c r="AB98" s="476"/>
      <c r="AC98" s="68"/>
      <c r="AD98" s="55"/>
      <c r="AE98" s="475">
        <v>3</v>
      </c>
      <c r="AF98" s="475"/>
      <c r="AG98" s="476" t="str">
        <f>U12組合せ!$H$16</f>
        <v>ＦＣブロケード</v>
      </c>
      <c r="AH98" s="476"/>
      <c r="AI98" s="476"/>
      <c r="AJ98" s="476"/>
      <c r="AK98" s="476"/>
      <c r="AL98" s="476"/>
      <c r="AM98" s="476"/>
      <c r="AN98" s="476"/>
      <c r="AO98" s="476"/>
      <c r="AP98" s="476"/>
    </row>
    <row r="99" spans="2:45" ht="18" customHeight="1" x14ac:dyDescent="0.4">
      <c r="C99" s="475">
        <v>4</v>
      </c>
      <c r="D99" s="475"/>
      <c r="E99" s="476" t="str">
        <f>U12組合せ!$H$17</f>
        <v>緑が丘ＹＦＣ</v>
      </c>
      <c r="F99" s="476"/>
      <c r="G99" s="476"/>
      <c r="H99" s="476"/>
      <c r="I99" s="476"/>
      <c r="J99" s="476"/>
      <c r="K99" s="476"/>
      <c r="L99" s="476"/>
      <c r="M99" s="476"/>
      <c r="N99" s="476"/>
      <c r="O99" s="58"/>
      <c r="P99" s="58"/>
      <c r="Q99" s="475">
        <v>5</v>
      </c>
      <c r="R99" s="475"/>
      <c r="S99" s="476" t="str">
        <f>U12組合せ!$H$18</f>
        <v>ともぞうＳＣ U12</v>
      </c>
      <c r="T99" s="476"/>
      <c r="U99" s="476"/>
      <c r="V99" s="476"/>
      <c r="W99" s="476"/>
      <c r="X99" s="476"/>
      <c r="Y99" s="476"/>
      <c r="Z99" s="476"/>
      <c r="AA99" s="476"/>
      <c r="AB99" s="476"/>
      <c r="AC99" s="68"/>
      <c r="AD99" s="55"/>
      <c r="AE99" s="475">
        <v>6</v>
      </c>
      <c r="AF99" s="475"/>
      <c r="AG99" s="476" t="str">
        <f>U12組合せ!$H$19</f>
        <v>ＦＣアネーロ･U-12</v>
      </c>
      <c r="AH99" s="476"/>
      <c r="AI99" s="476"/>
      <c r="AJ99" s="476"/>
      <c r="AK99" s="476"/>
      <c r="AL99" s="476"/>
      <c r="AM99" s="476"/>
      <c r="AN99" s="476"/>
      <c r="AO99" s="476"/>
      <c r="AP99" s="476"/>
    </row>
    <row r="100" spans="2:45" ht="18" customHeight="1" x14ac:dyDescent="0.4">
      <c r="C100" s="475">
        <v>7</v>
      </c>
      <c r="D100" s="475"/>
      <c r="E100" s="476" t="str">
        <f>U12組合せ!$H$20</f>
        <v>細谷サッカークラブ</v>
      </c>
      <c r="F100" s="476"/>
      <c r="G100" s="476"/>
      <c r="H100" s="476"/>
      <c r="I100" s="476"/>
      <c r="J100" s="476"/>
      <c r="K100" s="476"/>
      <c r="L100" s="476"/>
      <c r="M100" s="476"/>
      <c r="N100" s="476"/>
      <c r="O100" s="58"/>
      <c r="P100" s="58"/>
      <c r="Q100" s="475">
        <v>8</v>
      </c>
      <c r="R100" s="475"/>
      <c r="S100" s="476" t="str">
        <f>U12組合せ!$H$21</f>
        <v>ＦＣ Ｒｉｓｏ</v>
      </c>
      <c r="T100" s="476"/>
      <c r="U100" s="476"/>
      <c r="V100" s="476"/>
      <c r="W100" s="476"/>
      <c r="X100" s="476"/>
      <c r="Y100" s="476"/>
      <c r="Z100" s="476"/>
      <c r="AA100" s="476"/>
      <c r="AB100" s="476"/>
      <c r="AC100" s="68"/>
      <c r="AD100" s="55"/>
      <c r="AE100" s="475">
        <v>9</v>
      </c>
      <c r="AF100" s="475"/>
      <c r="AG100" s="476" t="str">
        <f>U12組合せ!$H$22</f>
        <v>上三川ＦＣ</v>
      </c>
      <c r="AH100" s="476"/>
      <c r="AI100" s="476"/>
      <c r="AJ100" s="476"/>
      <c r="AK100" s="476"/>
      <c r="AL100" s="476"/>
      <c r="AM100" s="476"/>
      <c r="AN100" s="476"/>
      <c r="AO100" s="476"/>
      <c r="AP100" s="476"/>
    </row>
    <row r="101" spans="2:45" ht="18" customHeight="1" x14ac:dyDescent="0.4">
      <c r="C101" s="475"/>
      <c r="D101" s="475"/>
      <c r="E101" s="476"/>
      <c r="F101" s="476"/>
      <c r="G101" s="476"/>
      <c r="H101" s="476"/>
      <c r="I101" s="476"/>
      <c r="J101" s="476"/>
      <c r="K101" s="476"/>
      <c r="L101" s="476"/>
      <c r="M101" s="476"/>
      <c r="N101" s="476"/>
      <c r="O101" s="58"/>
      <c r="P101" s="58"/>
      <c r="Q101" s="475"/>
      <c r="R101" s="475"/>
      <c r="S101" s="476"/>
      <c r="T101" s="476"/>
      <c r="U101" s="476"/>
      <c r="V101" s="476"/>
      <c r="W101" s="476"/>
      <c r="X101" s="476"/>
      <c r="Y101" s="476"/>
      <c r="Z101" s="476"/>
      <c r="AA101" s="476"/>
      <c r="AB101" s="476"/>
      <c r="AC101" s="68"/>
      <c r="AD101" s="55"/>
      <c r="AE101" s="475"/>
      <c r="AF101" s="475"/>
      <c r="AG101" s="476"/>
      <c r="AH101" s="476"/>
      <c r="AI101" s="476"/>
      <c r="AJ101" s="476"/>
      <c r="AK101" s="476"/>
      <c r="AL101" s="476"/>
      <c r="AM101" s="476"/>
      <c r="AN101" s="476"/>
      <c r="AO101" s="476"/>
      <c r="AP101" s="476"/>
    </row>
    <row r="102" spans="2:45" ht="18" customHeight="1" x14ac:dyDescent="0.4">
      <c r="B102" s="57"/>
      <c r="C102" s="475"/>
      <c r="D102" s="475"/>
      <c r="E102" s="476"/>
      <c r="F102" s="476"/>
      <c r="G102" s="476"/>
      <c r="H102" s="476"/>
      <c r="I102" s="476"/>
      <c r="J102" s="476"/>
      <c r="K102" s="476"/>
      <c r="L102" s="476"/>
      <c r="M102" s="476"/>
      <c r="N102" s="476"/>
      <c r="O102" s="58"/>
      <c r="P102" s="58"/>
      <c r="Q102" s="475"/>
      <c r="R102" s="475"/>
      <c r="S102" s="476"/>
      <c r="T102" s="476"/>
      <c r="U102" s="476"/>
      <c r="V102" s="476"/>
      <c r="W102" s="476"/>
      <c r="X102" s="476"/>
      <c r="Y102" s="476"/>
      <c r="Z102" s="476"/>
      <c r="AA102" s="476"/>
      <c r="AB102" s="476"/>
      <c r="AC102" s="68"/>
      <c r="AD102" s="55"/>
      <c r="AE102" s="475"/>
      <c r="AF102" s="475"/>
      <c r="AG102" s="476"/>
      <c r="AH102" s="476"/>
      <c r="AI102" s="476"/>
      <c r="AJ102" s="476"/>
      <c r="AK102" s="476"/>
      <c r="AL102" s="476"/>
      <c r="AM102" s="476"/>
      <c r="AN102" s="476"/>
      <c r="AO102" s="476"/>
      <c r="AP102" s="476"/>
      <c r="AQ102" s="57"/>
      <c r="AR102" s="57"/>
      <c r="AS102" s="57"/>
    </row>
    <row r="103" spans="2:45" ht="18" customHeight="1" x14ac:dyDescent="0.4">
      <c r="C103" s="524"/>
      <c r="D103" s="524"/>
      <c r="E103" s="546"/>
      <c r="F103" s="546"/>
      <c r="G103" s="546"/>
      <c r="H103" s="546"/>
      <c r="I103" s="546"/>
      <c r="J103" s="546"/>
      <c r="K103" s="546"/>
      <c r="L103" s="546"/>
      <c r="M103" s="546"/>
      <c r="N103" s="546"/>
      <c r="O103" s="58"/>
      <c r="P103" s="58"/>
      <c r="Q103" s="524"/>
      <c r="R103" s="524"/>
      <c r="S103" s="546"/>
      <c r="T103" s="546"/>
      <c r="U103" s="546"/>
      <c r="V103" s="546"/>
      <c r="W103" s="546"/>
      <c r="X103" s="546"/>
      <c r="Y103" s="546"/>
      <c r="Z103" s="546"/>
      <c r="AA103" s="546"/>
      <c r="AB103" s="546"/>
      <c r="AC103" s="68"/>
      <c r="AD103" s="58"/>
      <c r="AE103" s="524"/>
      <c r="AF103" s="524"/>
      <c r="AG103" s="546"/>
      <c r="AH103" s="546"/>
      <c r="AI103" s="546"/>
      <c r="AJ103" s="546"/>
      <c r="AK103" s="546"/>
      <c r="AL103" s="546"/>
      <c r="AM103" s="546"/>
      <c r="AN103" s="546"/>
      <c r="AO103" s="546"/>
      <c r="AP103" s="546"/>
    </row>
    <row r="104" spans="2:45" ht="21" customHeight="1" x14ac:dyDescent="0.4">
      <c r="B104" s="56" t="s">
        <v>569</v>
      </c>
    </row>
    <row r="105" spans="2:45" ht="20.25" customHeight="1" x14ac:dyDescent="0.4">
      <c r="B105" s="219"/>
      <c r="C105" s="456" t="s">
        <v>25</v>
      </c>
      <c r="D105" s="456"/>
      <c r="E105" s="456"/>
      <c r="F105" s="458" t="s">
        <v>26</v>
      </c>
      <c r="G105" s="459"/>
      <c r="H105" s="459"/>
      <c r="I105" s="459"/>
      <c r="J105" s="456" t="s">
        <v>27</v>
      </c>
      <c r="K105" s="457"/>
      <c r="L105" s="457"/>
      <c r="M105" s="457"/>
      <c r="N105" s="457"/>
      <c r="O105" s="457"/>
      <c r="P105" s="457"/>
      <c r="Q105" s="456" t="s">
        <v>540</v>
      </c>
      <c r="R105" s="456"/>
      <c r="S105" s="456"/>
      <c r="T105" s="456"/>
      <c r="U105" s="456"/>
      <c r="V105" s="456"/>
      <c r="W105" s="456"/>
      <c r="X105" s="456" t="s">
        <v>27</v>
      </c>
      <c r="Y105" s="457"/>
      <c r="Z105" s="457"/>
      <c r="AA105" s="457"/>
      <c r="AB105" s="457"/>
      <c r="AC105" s="457"/>
      <c r="AD105" s="457"/>
      <c r="AE105" s="458" t="s">
        <v>26</v>
      </c>
      <c r="AF105" s="459"/>
      <c r="AG105" s="459"/>
      <c r="AH105" s="459"/>
      <c r="AI105" s="456" t="s">
        <v>29</v>
      </c>
      <c r="AJ105" s="456"/>
      <c r="AK105" s="457"/>
      <c r="AL105" s="457"/>
      <c r="AM105" s="457"/>
      <c r="AN105" s="457"/>
      <c r="AO105" s="457"/>
      <c r="AP105" s="457"/>
    </row>
    <row r="106" spans="2:45" ht="20.100000000000001" customHeight="1" x14ac:dyDescent="0.4">
      <c r="B106" s="472">
        <v>1</v>
      </c>
      <c r="C106" s="449">
        <v>0.375</v>
      </c>
      <c r="D106" s="449"/>
      <c r="E106" s="449"/>
      <c r="F106" s="443"/>
      <c r="G106" s="444"/>
      <c r="H106" s="444"/>
      <c r="I106" s="444"/>
      <c r="J106" s="445" t="str">
        <f>IFERROR(VLOOKUP(AR106,$C$98:$N$100,3,0),"")&amp;IFERROR(VLOOKUP(AR106,$Q$98:$AB$100,3,0),"")&amp;IFERROR(VLOOKUP(AR106,$AE$98:$AP$100,3,0),"")</f>
        <v>清原ＳＳＳ</v>
      </c>
      <c r="K106" s="446"/>
      <c r="L106" s="446"/>
      <c r="M106" s="446"/>
      <c r="N106" s="446"/>
      <c r="O106" s="446"/>
      <c r="P106" s="446"/>
      <c r="Q106" s="450" t="str">
        <f t="shared" ref="Q106:Q110" si="47">IF(OR(S106="",S107=""),"",S106+S107)</f>
        <v/>
      </c>
      <c r="R106" s="450"/>
      <c r="S106" s="220"/>
      <c r="T106" s="221" t="s">
        <v>30</v>
      </c>
      <c r="U106" s="220"/>
      <c r="V106" s="450" t="str">
        <f t="shared" ref="V106:V110" si="48">IF(OR(U106="",U107=""),"",U106+U107)</f>
        <v/>
      </c>
      <c r="W106" s="450"/>
      <c r="X106" s="447" t="str">
        <f>IFERROR(VLOOKUP(AS106,$C$98:$N$100,3,0),"")&amp;IFERROR(VLOOKUP(AS106,$Q$98:$AB$100,3,0),"")&amp;IFERROR(VLOOKUP(AS106,$AE$98:$AP$100,3,0),"")</f>
        <v>ＦＣアネーロ･U-12</v>
      </c>
      <c r="Y106" s="448"/>
      <c r="Z106" s="448"/>
      <c r="AA106" s="448"/>
      <c r="AB106" s="448"/>
      <c r="AC106" s="448"/>
      <c r="AD106" s="448"/>
      <c r="AE106" s="443"/>
      <c r="AF106" s="444"/>
      <c r="AG106" s="444"/>
      <c r="AH106" s="444"/>
      <c r="AI106" s="450" t="str">
        <f ca="1">DBCS(INDIRECT("U12対戦スケジュール!c"&amp;(ROW()/2+35)))</f>
        <v>２／４／４／２</v>
      </c>
      <c r="AJ106" s="444"/>
      <c r="AK106" s="444"/>
      <c r="AL106" s="444"/>
      <c r="AM106" s="444"/>
      <c r="AN106" s="444"/>
      <c r="AO106" s="444"/>
      <c r="AP106" s="444"/>
      <c r="AR106" s="58">
        <v>1</v>
      </c>
      <c r="AS106" s="230">
        <v>6</v>
      </c>
    </row>
    <row r="107" spans="2:45" ht="20.100000000000001" customHeight="1" x14ac:dyDescent="0.4">
      <c r="B107" s="472"/>
      <c r="C107" s="449"/>
      <c r="D107" s="449"/>
      <c r="E107" s="449"/>
      <c r="F107" s="444"/>
      <c r="G107" s="444"/>
      <c r="H107" s="444"/>
      <c r="I107" s="444"/>
      <c r="J107" s="446"/>
      <c r="K107" s="446"/>
      <c r="L107" s="446"/>
      <c r="M107" s="446"/>
      <c r="N107" s="446"/>
      <c r="O107" s="446"/>
      <c r="P107" s="446"/>
      <c r="Q107" s="450"/>
      <c r="R107" s="450"/>
      <c r="S107" s="220"/>
      <c r="T107" s="221" t="s">
        <v>30</v>
      </c>
      <c r="U107" s="220"/>
      <c r="V107" s="450"/>
      <c r="W107" s="450"/>
      <c r="X107" s="448"/>
      <c r="Y107" s="448"/>
      <c r="Z107" s="448"/>
      <c r="AA107" s="448"/>
      <c r="AB107" s="448"/>
      <c r="AC107" s="448"/>
      <c r="AD107" s="448"/>
      <c r="AE107" s="444"/>
      <c r="AF107" s="444"/>
      <c r="AG107" s="444"/>
      <c r="AH107" s="444"/>
      <c r="AI107" s="444"/>
      <c r="AJ107" s="444"/>
      <c r="AK107" s="444"/>
      <c r="AL107" s="444"/>
      <c r="AM107" s="444"/>
      <c r="AN107" s="444"/>
      <c r="AO107" s="444"/>
      <c r="AP107" s="444"/>
      <c r="AR107" s="58"/>
      <c r="AS107" s="230"/>
    </row>
    <row r="108" spans="2:45" ht="20.100000000000001" customHeight="1" x14ac:dyDescent="0.4">
      <c r="B108" s="472">
        <v>2</v>
      </c>
      <c r="C108" s="449">
        <v>0.40277777777777773</v>
      </c>
      <c r="D108" s="449">
        <v>0.4375</v>
      </c>
      <c r="E108" s="449"/>
      <c r="F108" s="443"/>
      <c r="G108" s="444"/>
      <c r="H108" s="444"/>
      <c r="I108" s="444"/>
      <c r="J108" s="445" t="str">
        <f t="shared" ref="J108" si="49">IFERROR(VLOOKUP(AR108,$C$98:$N$100,3,0),"")&amp;IFERROR(VLOOKUP(AR108,$Q$98:$AB$100,3,0),"")&amp;IFERROR(VLOOKUP(AR108,$AE$98:$AP$100,3,0),"")</f>
        <v>ＦＣグランディール</v>
      </c>
      <c r="K108" s="446"/>
      <c r="L108" s="446"/>
      <c r="M108" s="446"/>
      <c r="N108" s="446"/>
      <c r="O108" s="446"/>
      <c r="P108" s="446"/>
      <c r="Q108" s="450" t="str">
        <f t="shared" si="47"/>
        <v/>
      </c>
      <c r="R108" s="450"/>
      <c r="S108" s="220"/>
      <c r="T108" s="221" t="s">
        <v>30</v>
      </c>
      <c r="U108" s="220"/>
      <c r="V108" s="450" t="str">
        <f t="shared" si="48"/>
        <v/>
      </c>
      <c r="W108" s="450"/>
      <c r="X108" s="447" t="str">
        <f t="shared" ref="X108" si="50">IFERROR(VLOOKUP(AS108,$C$98:$N$100,3,0),"")&amp;IFERROR(VLOOKUP(AS108,$Q$98:$AB$100,3,0),"")&amp;IFERROR(VLOOKUP(AS108,$AE$98:$AP$100,3,0),"")</f>
        <v>緑が丘ＹＦＣ</v>
      </c>
      <c r="Y108" s="448"/>
      <c r="Z108" s="448"/>
      <c r="AA108" s="448"/>
      <c r="AB108" s="448"/>
      <c r="AC108" s="448"/>
      <c r="AD108" s="448"/>
      <c r="AE108" s="443"/>
      <c r="AF108" s="444"/>
      <c r="AG108" s="444"/>
      <c r="AH108" s="444"/>
      <c r="AI108" s="450" t="str">
        <f t="shared" ref="AI108" ca="1" si="51">DBCS(INDIRECT("U12対戦スケジュール!c"&amp;(ROW()/2+35)))</f>
        <v>１／６／６／１</v>
      </c>
      <c r="AJ108" s="444"/>
      <c r="AK108" s="444"/>
      <c r="AL108" s="444"/>
      <c r="AM108" s="444"/>
      <c r="AN108" s="444"/>
      <c r="AO108" s="444"/>
      <c r="AP108" s="444"/>
      <c r="AR108" s="58">
        <v>2</v>
      </c>
      <c r="AS108" s="230">
        <v>4</v>
      </c>
    </row>
    <row r="109" spans="2:45" ht="20.100000000000001" customHeight="1" x14ac:dyDescent="0.4">
      <c r="B109" s="472"/>
      <c r="C109" s="449"/>
      <c r="D109" s="449"/>
      <c r="E109" s="449"/>
      <c r="F109" s="444"/>
      <c r="G109" s="444"/>
      <c r="H109" s="444"/>
      <c r="I109" s="444"/>
      <c r="J109" s="446"/>
      <c r="K109" s="446"/>
      <c r="L109" s="446"/>
      <c r="M109" s="446"/>
      <c r="N109" s="446"/>
      <c r="O109" s="446"/>
      <c r="P109" s="446"/>
      <c r="Q109" s="450"/>
      <c r="R109" s="450"/>
      <c r="S109" s="220"/>
      <c r="T109" s="221" t="s">
        <v>30</v>
      </c>
      <c r="U109" s="220"/>
      <c r="V109" s="450"/>
      <c r="W109" s="450"/>
      <c r="X109" s="448"/>
      <c r="Y109" s="448"/>
      <c r="Z109" s="448"/>
      <c r="AA109" s="448"/>
      <c r="AB109" s="448"/>
      <c r="AC109" s="448"/>
      <c r="AD109" s="448"/>
      <c r="AE109" s="444"/>
      <c r="AF109" s="444"/>
      <c r="AG109" s="444"/>
      <c r="AH109" s="444"/>
      <c r="AI109" s="444"/>
      <c r="AJ109" s="444"/>
      <c r="AK109" s="444"/>
      <c r="AL109" s="444"/>
      <c r="AM109" s="444"/>
      <c r="AN109" s="444"/>
      <c r="AO109" s="444"/>
      <c r="AP109" s="444"/>
      <c r="AR109" s="58"/>
      <c r="AS109" s="230"/>
    </row>
    <row r="110" spans="2:45" ht="20.100000000000001" customHeight="1" x14ac:dyDescent="0.4">
      <c r="B110" s="472">
        <v>3</v>
      </c>
      <c r="C110" s="449">
        <v>0.43055555555555558</v>
      </c>
      <c r="D110" s="449"/>
      <c r="E110" s="449"/>
      <c r="F110" s="443"/>
      <c r="G110" s="444"/>
      <c r="H110" s="444"/>
      <c r="I110" s="444"/>
      <c r="J110" s="445" t="str">
        <f t="shared" ref="J110" si="52">IFERROR(VLOOKUP(AR110,$C$98:$N$100,3,0),"")&amp;IFERROR(VLOOKUP(AR110,$Q$98:$AB$100,3,0),"")&amp;IFERROR(VLOOKUP(AR110,$AE$98:$AP$100,3,0),"")</f>
        <v>ＦＣ Ｒｉｓｏ</v>
      </c>
      <c r="K110" s="446"/>
      <c r="L110" s="446"/>
      <c r="M110" s="446"/>
      <c r="N110" s="446"/>
      <c r="O110" s="446"/>
      <c r="P110" s="446"/>
      <c r="Q110" s="450" t="str">
        <f t="shared" si="47"/>
        <v/>
      </c>
      <c r="R110" s="450"/>
      <c r="S110" s="220"/>
      <c r="T110" s="221" t="s">
        <v>30</v>
      </c>
      <c r="U110" s="220"/>
      <c r="V110" s="450" t="str">
        <f t="shared" si="48"/>
        <v/>
      </c>
      <c r="W110" s="450"/>
      <c r="X110" s="447" t="str">
        <f t="shared" ref="X110" si="53">IFERROR(VLOOKUP(AS110,$C$98:$N$100,3,0),"")&amp;IFERROR(VLOOKUP(AS110,$Q$98:$AB$100,3,0),"")&amp;IFERROR(VLOOKUP(AS110,$AE$98:$AP$100,3,0),"")</f>
        <v>清原ＳＳＳ</v>
      </c>
      <c r="Y110" s="448"/>
      <c r="Z110" s="448"/>
      <c r="AA110" s="448"/>
      <c r="AB110" s="448"/>
      <c r="AC110" s="448"/>
      <c r="AD110" s="448"/>
      <c r="AE110" s="443"/>
      <c r="AF110" s="444"/>
      <c r="AG110" s="444"/>
      <c r="AH110" s="444"/>
      <c r="AI110" s="450" t="str">
        <f t="shared" ref="AI110" ca="1" si="54">DBCS(INDIRECT("U12対戦スケジュール!c"&amp;(ROW()/2+35)))</f>
        <v>９／２／２／９</v>
      </c>
      <c r="AJ110" s="444"/>
      <c r="AK110" s="444"/>
      <c r="AL110" s="444"/>
      <c r="AM110" s="444"/>
      <c r="AN110" s="444"/>
      <c r="AO110" s="444"/>
      <c r="AP110" s="444"/>
      <c r="AR110" s="58">
        <v>8</v>
      </c>
      <c r="AS110" s="230">
        <v>1</v>
      </c>
    </row>
    <row r="111" spans="2:45" ht="20.100000000000001" customHeight="1" x14ac:dyDescent="0.4">
      <c r="B111" s="472"/>
      <c r="C111" s="449"/>
      <c r="D111" s="449"/>
      <c r="E111" s="449"/>
      <c r="F111" s="444"/>
      <c r="G111" s="444"/>
      <c r="H111" s="444"/>
      <c r="I111" s="444"/>
      <c r="J111" s="446"/>
      <c r="K111" s="446"/>
      <c r="L111" s="446"/>
      <c r="M111" s="446"/>
      <c r="N111" s="446"/>
      <c r="O111" s="446"/>
      <c r="P111" s="446"/>
      <c r="Q111" s="450"/>
      <c r="R111" s="450"/>
      <c r="S111" s="220"/>
      <c r="T111" s="221" t="s">
        <v>30</v>
      </c>
      <c r="U111" s="220"/>
      <c r="V111" s="450"/>
      <c r="W111" s="450"/>
      <c r="X111" s="448"/>
      <c r="Y111" s="448"/>
      <c r="Z111" s="448"/>
      <c r="AA111" s="448"/>
      <c r="AB111" s="448"/>
      <c r="AC111" s="448"/>
      <c r="AD111" s="448"/>
      <c r="AE111" s="444"/>
      <c r="AF111" s="444"/>
      <c r="AG111" s="444"/>
      <c r="AH111" s="444"/>
      <c r="AI111" s="444"/>
      <c r="AJ111" s="444"/>
      <c r="AK111" s="444"/>
      <c r="AL111" s="444"/>
      <c r="AM111" s="444"/>
      <c r="AN111" s="444"/>
      <c r="AO111" s="444"/>
      <c r="AP111" s="444"/>
      <c r="AR111" s="58"/>
      <c r="AS111" s="230"/>
    </row>
    <row r="112" spans="2:45" ht="20.100000000000001" customHeight="1" x14ac:dyDescent="0.4">
      <c r="B112" s="472">
        <v>4</v>
      </c>
      <c r="C112" s="449">
        <v>0.45833333333333331</v>
      </c>
      <c r="D112" s="449">
        <v>0.4375</v>
      </c>
      <c r="E112" s="449"/>
      <c r="F112" s="443"/>
      <c r="G112" s="444"/>
      <c r="H112" s="444"/>
      <c r="I112" s="444"/>
      <c r="J112" s="445" t="str">
        <f t="shared" ref="J112" si="55">IFERROR(VLOOKUP(AR112,$C$98:$N$100,3,0),"")&amp;IFERROR(VLOOKUP(AR112,$Q$98:$AB$100,3,0),"")&amp;IFERROR(VLOOKUP(AR112,$AE$98:$AP$100,3,0),"")</f>
        <v>上三川ＦＣ</v>
      </c>
      <c r="K112" s="446"/>
      <c r="L112" s="446"/>
      <c r="M112" s="446"/>
      <c r="N112" s="446"/>
      <c r="O112" s="446"/>
      <c r="P112" s="446"/>
      <c r="Q112" s="450" t="str">
        <f t="shared" ref="Q112:Q116" si="56">IF(OR(S112="",S113=""),"",S112+S113)</f>
        <v/>
      </c>
      <c r="R112" s="450"/>
      <c r="S112" s="220"/>
      <c r="T112" s="221" t="s">
        <v>30</v>
      </c>
      <c r="U112" s="220"/>
      <c r="V112" s="450" t="str">
        <f t="shared" ref="V112:V116" si="57">IF(OR(U112="",U113=""),"",U112+U113)</f>
        <v/>
      </c>
      <c r="W112" s="450"/>
      <c r="X112" s="447" t="str">
        <f t="shared" ref="X112" si="58">IFERROR(VLOOKUP(AS112,$C$98:$N$100,3,0),"")&amp;IFERROR(VLOOKUP(AS112,$Q$98:$AB$100,3,0),"")&amp;IFERROR(VLOOKUP(AS112,$AE$98:$AP$100,3,0),"")</f>
        <v>ＦＣグランディール</v>
      </c>
      <c r="Y112" s="448"/>
      <c r="Z112" s="448"/>
      <c r="AA112" s="448"/>
      <c r="AB112" s="448"/>
      <c r="AC112" s="448"/>
      <c r="AD112" s="448"/>
      <c r="AE112" s="443"/>
      <c r="AF112" s="444"/>
      <c r="AG112" s="444"/>
      <c r="AH112" s="444"/>
      <c r="AI112" s="450" t="str">
        <f t="shared" ref="AI112" ca="1" si="59">DBCS(INDIRECT("U12対戦スケジュール!c"&amp;(ROW()/2+35)))</f>
        <v>８／１／１／８</v>
      </c>
      <c r="AJ112" s="444"/>
      <c r="AK112" s="444"/>
      <c r="AL112" s="444"/>
      <c r="AM112" s="444"/>
      <c r="AN112" s="444"/>
      <c r="AO112" s="444"/>
      <c r="AP112" s="444"/>
      <c r="AR112" s="58">
        <v>9</v>
      </c>
      <c r="AS112" s="230">
        <v>2</v>
      </c>
    </row>
    <row r="113" spans="1:45" ht="20.100000000000001" customHeight="1" x14ac:dyDescent="0.4">
      <c r="B113" s="472"/>
      <c r="C113" s="449"/>
      <c r="D113" s="449"/>
      <c r="E113" s="449"/>
      <c r="F113" s="444"/>
      <c r="G113" s="444"/>
      <c r="H113" s="444"/>
      <c r="I113" s="444"/>
      <c r="J113" s="446"/>
      <c r="K113" s="446"/>
      <c r="L113" s="446"/>
      <c r="M113" s="446"/>
      <c r="N113" s="446"/>
      <c r="O113" s="446"/>
      <c r="P113" s="446"/>
      <c r="Q113" s="450"/>
      <c r="R113" s="450"/>
      <c r="S113" s="220"/>
      <c r="T113" s="221" t="s">
        <v>30</v>
      </c>
      <c r="U113" s="220"/>
      <c r="V113" s="450"/>
      <c r="W113" s="450"/>
      <c r="X113" s="448"/>
      <c r="Y113" s="448"/>
      <c r="Z113" s="448"/>
      <c r="AA113" s="448"/>
      <c r="AB113" s="448"/>
      <c r="AC113" s="448"/>
      <c r="AD113" s="448"/>
      <c r="AE113" s="444"/>
      <c r="AF113" s="444"/>
      <c r="AG113" s="444"/>
      <c r="AH113" s="444"/>
      <c r="AI113" s="444"/>
      <c r="AJ113" s="444"/>
      <c r="AK113" s="444"/>
      <c r="AL113" s="444"/>
      <c r="AM113" s="444"/>
      <c r="AN113" s="444"/>
      <c r="AO113" s="444"/>
      <c r="AP113" s="444"/>
      <c r="AR113" s="58"/>
      <c r="AS113" s="230"/>
    </row>
    <row r="114" spans="1:45" ht="20.100000000000001" customHeight="1" x14ac:dyDescent="0.4">
      <c r="B114" s="472">
        <v>5</v>
      </c>
      <c r="C114" s="449">
        <v>0.4861111111111111</v>
      </c>
      <c r="D114" s="449"/>
      <c r="E114" s="449"/>
      <c r="F114" s="443"/>
      <c r="G114" s="444"/>
      <c r="H114" s="444"/>
      <c r="I114" s="444"/>
      <c r="J114" s="445" t="str">
        <f t="shared" ref="J114" si="60">IFERROR(VLOOKUP(AR114,$C$98:$N$100,3,0),"")&amp;IFERROR(VLOOKUP(AR114,$Q$98:$AB$100,3,0),"")&amp;IFERROR(VLOOKUP(AR114,$AE$98:$AP$100,3,0),"")</f>
        <v>ＦＣアネーロ･U-12</v>
      </c>
      <c r="K114" s="446"/>
      <c r="L114" s="446"/>
      <c r="M114" s="446"/>
      <c r="N114" s="446"/>
      <c r="O114" s="446"/>
      <c r="P114" s="446"/>
      <c r="Q114" s="450" t="str">
        <f t="shared" si="56"/>
        <v/>
      </c>
      <c r="R114" s="450"/>
      <c r="S114" s="220"/>
      <c r="T114" s="221" t="s">
        <v>30</v>
      </c>
      <c r="U114" s="220"/>
      <c r="V114" s="450" t="str">
        <f t="shared" si="57"/>
        <v/>
      </c>
      <c r="W114" s="450"/>
      <c r="X114" s="447" t="str">
        <f t="shared" ref="X114" si="61">IFERROR(VLOOKUP(AS114,$C$98:$N$100,3,0),"")&amp;IFERROR(VLOOKUP(AS114,$Q$98:$AB$100,3,0),"")&amp;IFERROR(VLOOKUP(AS114,$AE$98:$AP$100,3,0),"")</f>
        <v>ＦＣ Ｒｉｓｏ</v>
      </c>
      <c r="Y114" s="448"/>
      <c r="Z114" s="448"/>
      <c r="AA114" s="448"/>
      <c r="AB114" s="448"/>
      <c r="AC114" s="448"/>
      <c r="AD114" s="448"/>
      <c r="AE114" s="443"/>
      <c r="AF114" s="444"/>
      <c r="AG114" s="444"/>
      <c r="AH114" s="444"/>
      <c r="AI114" s="450" t="str">
        <f t="shared" ref="AI114" ca="1" si="62">DBCS(INDIRECT("U12対戦スケジュール!c"&amp;(ROW()/2+35)))</f>
        <v>４／９／９／４</v>
      </c>
      <c r="AJ114" s="444"/>
      <c r="AK114" s="444"/>
      <c r="AL114" s="444"/>
      <c r="AM114" s="444"/>
      <c r="AN114" s="444"/>
      <c r="AO114" s="444"/>
      <c r="AP114" s="444"/>
      <c r="AR114" s="58">
        <v>6</v>
      </c>
      <c r="AS114" s="230">
        <v>8</v>
      </c>
    </row>
    <row r="115" spans="1:45" ht="20.100000000000001" customHeight="1" x14ac:dyDescent="0.4">
      <c r="B115" s="472"/>
      <c r="C115" s="449"/>
      <c r="D115" s="449"/>
      <c r="E115" s="449"/>
      <c r="F115" s="444"/>
      <c r="G115" s="444"/>
      <c r="H115" s="444"/>
      <c r="I115" s="444"/>
      <c r="J115" s="446"/>
      <c r="K115" s="446"/>
      <c r="L115" s="446"/>
      <c r="M115" s="446"/>
      <c r="N115" s="446"/>
      <c r="O115" s="446"/>
      <c r="P115" s="446"/>
      <c r="Q115" s="450"/>
      <c r="R115" s="450"/>
      <c r="S115" s="220"/>
      <c r="T115" s="221" t="s">
        <v>30</v>
      </c>
      <c r="U115" s="220"/>
      <c r="V115" s="450"/>
      <c r="W115" s="450"/>
      <c r="X115" s="448"/>
      <c r="Y115" s="448"/>
      <c r="Z115" s="448"/>
      <c r="AA115" s="448"/>
      <c r="AB115" s="448"/>
      <c r="AC115" s="448"/>
      <c r="AD115" s="448"/>
      <c r="AE115" s="444"/>
      <c r="AF115" s="444"/>
      <c r="AG115" s="444"/>
      <c r="AH115" s="444"/>
      <c r="AI115" s="444"/>
      <c r="AJ115" s="444"/>
      <c r="AK115" s="444"/>
      <c r="AL115" s="444"/>
      <c r="AM115" s="444"/>
      <c r="AN115" s="444"/>
      <c r="AO115" s="444"/>
      <c r="AP115" s="444"/>
      <c r="AR115" s="58"/>
      <c r="AS115" s="230"/>
    </row>
    <row r="116" spans="1:45" ht="20.100000000000001" customHeight="1" x14ac:dyDescent="0.4">
      <c r="B116" s="472">
        <v>6</v>
      </c>
      <c r="C116" s="449">
        <v>0.51388888888888895</v>
      </c>
      <c r="D116" s="449">
        <v>0.4375</v>
      </c>
      <c r="E116" s="449"/>
      <c r="F116" s="443"/>
      <c r="G116" s="444"/>
      <c r="H116" s="444"/>
      <c r="I116" s="444"/>
      <c r="J116" s="445" t="str">
        <f t="shared" ref="J116" si="63">IFERROR(VLOOKUP(AR116,$C$98:$N$100,3,0),"")&amp;IFERROR(VLOOKUP(AR116,$Q$98:$AB$100,3,0),"")&amp;IFERROR(VLOOKUP(AR116,$AE$98:$AP$100,3,0),"")</f>
        <v>緑が丘ＹＦＣ</v>
      </c>
      <c r="K116" s="446"/>
      <c r="L116" s="446"/>
      <c r="M116" s="446"/>
      <c r="N116" s="446"/>
      <c r="O116" s="446"/>
      <c r="P116" s="446"/>
      <c r="Q116" s="450" t="str">
        <f t="shared" si="56"/>
        <v/>
      </c>
      <c r="R116" s="450"/>
      <c r="S116" s="220"/>
      <c r="T116" s="221" t="s">
        <v>30</v>
      </c>
      <c r="U116" s="220"/>
      <c r="V116" s="450" t="str">
        <f t="shared" si="57"/>
        <v/>
      </c>
      <c r="W116" s="450"/>
      <c r="X116" s="447" t="str">
        <f t="shared" ref="X116" si="64">IFERROR(VLOOKUP(AS116,$C$98:$N$100,3,0),"")&amp;IFERROR(VLOOKUP(AS116,$Q$98:$AB$100,3,0),"")&amp;IFERROR(VLOOKUP(AS116,$AE$98:$AP$100,3,0),"")</f>
        <v>上三川ＦＣ</v>
      </c>
      <c r="Y116" s="448"/>
      <c r="Z116" s="448"/>
      <c r="AA116" s="448"/>
      <c r="AB116" s="448"/>
      <c r="AC116" s="448"/>
      <c r="AD116" s="448"/>
      <c r="AE116" s="443"/>
      <c r="AF116" s="444"/>
      <c r="AG116" s="444"/>
      <c r="AH116" s="444"/>
      <c r="AI116" s="450" t="str">
        <f t="shared" ref="AI116" ca="1" si="65">DBCS(INDIRECT("U12対戦スケジュール!c"&amp;(ROW()/2+35)))</f>
        <v>６／８／８／６</v>
      </c>
      <c r="AJ116" s="444"/>
      <c r="AK116" s="444"/>
      <c r="AL116" s="444"/>
      <c r="AM116" s="444"/>
      <c r="AN116" s="444"/>
      <c r="AO116" s="444"/>
      <c r="AP116" s="444"/>
      <c r="AR116" s="58">
        <v>4</v>
      </c>
      <c r="AS116" s="230">
        <v>9</v>
      </c>
    </row>
    <row r="117" spans="1:45" ht="20.100000000000001" customHeight="1" x14ac:dyDescent="0.4">
      <c r="B117" s="472"/>
      <c r="C117" s="449"/>
      <c r="D117" s="449"/>
      <c r="E117" s="449"/>
      <c r="F117" s="444"/>
      <c r="G117" s="444"/>
      <c r="H117" s="444"/>
      <c r="I117" s="444"/>
      <c r="J117" s="446"/>
      <c r="K117" s="446"/>
      <c r="L117" s="446"/>
      <c r="M117" s="446"/>
      <c r="N117" s="446"/>
      <c r="O117" s="446"/>
      <c r="P117" s="446"/>
      <c r="Q117" s="450"/>
      <c r="R117" s="450"/>
      <c r="S117" s="220"/>
      <c r="T117" s="221" t="s">
        <v>30</v>
      </c>
      <c r="U117" s="220"/>
      <c r="V117" s="450"/>
      <c r="W117" s="450"/>
      <c r="X117" s="448"/>
      <c r="Y117" s="448"/>
      <c r="Z117" s="448"/>
      <c r="AA117" s="448"/>
      <c r="AB117" s="448"/>
      <c r="AC117" s="448"/>
      <c r="AD117" s="448"/>
      <c r="AE117" s="444"/>
      <c r="AF117" s="444"/>
      <c r="AG117" s="444"/>
      <c r="AH117" s="444"/>
      <c r="AI117" s="444"/>
      <c r="AJ117" s="444"/>
      <c r="AK117" s="444"/>
      <c r="AL117" s="444"/>
      <c r="AM117" s="444"/>
      <c r="AN117" s="444"/>
      <c r="AO117" s="444"/>
      <c r="AP117" s="444"/>
    </row>
    <row r="118" spans="1:45" ht="20.100000000000001" hidden="1" customHeight="1" thickBot="1" x14ac:dyDescent="0.45">
      <c r="B118" s="573">
        <v>7</v>
      </c>
      <c r="C118" s="535">
        <v>0.58333333333333304</v>
      </c>
      <c r="D118" s="536"/>
      <c r="E118" s="537"/>
      <c r="F118" s="547"/>
      <c r="G118" s="548"/>
      <c r="H118" s="548"/>
      <c r="I118" s="549"/>
      <c r="J118" s="553" t="str">
        <f>IFERROR(VLOOKUP(AR118,$C$98:$N$100,3,0),"")&amp;IFERROR(VLOOKUP(AR118,$Q$98:$AB$100,3,0),"")&amp;IFERROR(VLOOKUP(AR118,$AE$98:$AP$100,3,0),"")</f>
        <v/>
      </c>
      <c r="K118" s="554"/>
      <c r="L118" s="554"/>
      <c r="M118" s="554"/>
      <c r="N118" s="554"/>
      <c r="O118" s="554"/>
      <c r="P118" s="555"/>
      <c r="Q118" s="563" t="str">
        <f>IF(OR(S118="",S119=""),"",S118+S119)</f>
        <v/>
      </c>
      <c r="R118" s="564"/>
      <c r="S118" s="228"/>
      <c r="T118" s="229" t="s">
        <v>30</v>
      </c>
      <c r="U118" s="228"/>
      <c r="V118" s="563" t="str">
        <f>IF(OR(U118="",U119=""),"",U118+U119)</f>
        <v/>
      </c>
      <c r="W118" s="564"/>
      <c r="X118" s="559" t="str">
        <f>IFERROR(VLOOKUP(AS118,$C$98:$N$100,3,0),"")&amp;IFERROR(VLOOKUP(AS118,$Q$98:$AB$100,3,0),"")&amp;IFERROR(VLOOKUP(AS118,$AE$98:$AP$100,3,0),"")</f>
        <v/>
      </c>
      <c r="Y118" s="554"/>
      <c r="Z118" s="554"/>
      <c r="AA118" s="554"/>
      <c r="AB118" s="554"/>
      <c r="AC118" s="554"/>
      <c r="AD118" s="560"/>
      <c r="AE118" s="547"/>
      <c r="AF118" s="548"/>
      <c r="AG118" s="548"/>
      <c r="AH118" s="549"/>
      <c r="AI118" s="567" t="str">
        <f ca="1">DBCS(INDIRECT("U12対戦スケジュール!c"&amp;(ROW()/2+32)))</f>
        <v>８／１／１／８</v>
      </c>
      <c r="AJ118" s="568"/>
      <c r="AK118" s="568"/>
      <c r="AL118" s="568"/>
      <c r="AM118" s="568"/>
      <c r="AN118" s="568"/>
      <c r="AO118" s="568"/>
      <c r="AP118" s="569"/>
      <c r="AR118" s="58"/>
      <c r="AS118" s="59"/>
    </row>
    <row r="119" spans="1:45" ht="20.100000000000001" hidden="1" customHeight="1" thickBot="1" x14ac:dyDescent="0.45">
      <c r="B119" s="574"/>
      <c r="C119" s="538"/>
      <c r="D119" s="539"/>
      <c r="E119" s="540"/>
      <c r="F119" s="550"/>
      <c r="G119" s="551"/>
      <c r="H119" s="551"/>
      <c r="I119" s="552"/>
      <c r="J119" s="556"/>
      <c r="K119" s="557"/>
      <c r="L119" s="557"/>
      <c r="M119" s="557"/>
      <c r="N119" s="557"/>
      <c r="O119" s="557"/>
      <c r="P119" s="558"/>
      <c r="Q119" s="565"/>
      <c r="R119" s="566"/>
      <c r="S119" s="67"/>
      <c r="T119" s="131" t="s">
        <v>30</v>
      </c>
      <c r="U119" s="67"/>
      <c r="V119" s="565"/>
      <c r="W119" s="566"/>
      <c r="X119" s="561"/>
      <c r="Y119" s="557"/>
      <c r="Z119" s="557"/>
      <c r="AA119" s="557"/>
      <c r="AB119" s="557"/>
      <c r="AC119" s="557"/>
      <c r="AD119" s="562"/>
      <c r="AE119" s="550"/>
      <c r="AF119" s="551"/>
      <c r="AG119" s="551"/>
      <c r="AH119" s="552"/>
      <c r="AI119" s="570"/>
      <c r="AJ119" s="571"/>
      <c r="AK119" s="571"/>
      <c r="AL119" s="571"/>
      <c r="AM119" s="571"/>
      <c r="AN119" s="571"/>
      <c r="AO119" s="571"/>
      <c r="AP119" s="572"/>
    </row>
    <row r="120" spans="1:45" s="55" customFormat="1" ht="15.75" customHeight="1" x14ac:dyDescent="0.4">
      <c r="A120" s="58"/>
      <c r="B120" s="59"/>
      <c r="C120" s="60"/>
      <c r="D120" s="60"/>
      <c r="E120" s="60"/>
      <c r="F120" s="59"/>
      <c r="G120" s="59"/>
      <c r="H120" s="59"/>
      <c r="I120" s="59"/>
      <c r="J120" s="59"/>
      <c r="K120" s="61"/>
      <c r="L120" s="61"/>
      <c r="M120" s="62"/>
      <c r="N120" s="63"/>
      <c r="O120" s="62"/>
      <c r="P120" s="61"/>
      <c r="Q120" s="61"/>
      <c r="R120" s="59"/>
      <c r="S120" s="59"/>
      <c r="T120" s="59"/>
      <c r="U120" s="59"/>
      <c r="V120" s="59"/>
      <c r="W120" s="66"/>
      <c r="X120" s="66"/>
      <c r="Y120" s="66"/>
      <c r="Z120" s="66"/>
      <c r="AA120" s="66"/>
      <c r="AB120" s="66"/>
      <c r="AC120" s="58"/>
    </row>
    <row r="121" spans="1:45" ht="20.25" customHeight="1" x14ac:dyDescent="0.4">
      <c r="D121" s="477" t="s">
        <v>31</v>
      </c>
      <c r="E121" s="477"/>
      <c r="F121" s="477"/>
      <c r="G121" s="477"/>
      <c r="H121" s="477"/>
      <c r="I121" s="477"/>
      <c r="J121" s="477" t="s">
        <v>27</v>
      </c>
      <c r="K121" s="477"/>
      <c r="L121" s="477"/>
      <c r="M121" s="477"/>
      <c r="N121" s="477"/>
      <c r="O121" s="477"/>
      <c r="P121" s="477"/>
      <c r="Q121" s="477"/>
      <c r="R121" s="478" t="s">
        <v>32</v>
      </c>
      <c r="S121" s="478"/>
      <c r="T121" s="478"/>
      <c r="U121" s="478"/>
      <c r="V121" s="478"/>
      <c r="W121" s="478"/>
      <c r="X121" s="478"/>
      <c r="Y121" s="478"/>
      <c r="Z121" s="478"/>
      <c r="AA121" s="479" t="s">
        <v>33</v>
      </c>
      <c r="AB121" s="479"/>
      <c r="AC121" s="479"/>
      <c r="AD121" s="479" t="s">
        <v>34</v>
      </c>
      <c r="AE121" s="479"/>
      <c r="AF121" s="479"/>
      <c r="AG121" s="479"/>
      <c r="AH121" s="479"/>
      <c r="AI121" s="479"/>
      <c r="AJ121" s="479"/>
      <c r="AK121" s="479"/>
      <c r="AL121" s="479"/>
      <c r="AM121" s="479"/>
    </row>
    <row r="122" spans="1:45" ht="30" customHeight="1" x14ac:dyDescent="0.4">
      <c r="D122" s="477" t="s">
        <v>35</v>
      </c>
      <c r="E122" s="477"/>
      <c r="F122" s="477"/>
      <c r="G122" s="477"/>
      <c r="H122" s="477"/>
      <c r="I122" s="477"/>
      <c r="J122" s="477"/>
      <c r="K122" s="477"/>
      <c r="L122" s="477"/>
      <c r="M122" s="477"/>
      <c r="N122" s="477"/>
      <c r="O122" s="477"/>
      <c r="P122" s="477"/>
      <c r="Q122" s="477"/>
      <c r="R122" s="478"/>
      <c r="S122" s="478"/>
      <c r="T122" s="478"/>
      <c r="U122" s="478"/>
      <c r="V122" s="478"/>
      <c r="W122" s="478"/>
      <c r="X122" s="478"/>
      <c r="Y122" s="478"/>
      <c r="Z122" s="478"/>
      <c r="AA122" s="481"/>
      <c r="AB122" s="481"/>
      <c r="AC122" s="481"/>
      <c r="AD122" s="480"/>
      <c r="AE122" s="480"/>
      <c r="AF122" s="480"/>
      <c r="AG122" s="480"/>
      <c r="AH122" s="480"/>
      <c r="AI122" s="480"/>
      <c r="AJ122" s="480"/>
      <c r="AK122" s="480"/>
      <c r="AL122" s="480"/>
      <c r="AM122" s="480"/>
    </row>
    <row r="123" spans="1:45" ht="30" customHeight="1" x14ac:dyDescent="0.4">
      <c r="D123" s="477" t="s">
        <v>35</v>
      </c>
      <c r="E123" s="477"/>
      <c r="F123" s="477"/>
      <c r="G123" s="477"/>
      <c r="H123" s="477"/>
      <c r="I123" s="477"/>
      <c r="J123" s="477"/>
      <c r="K123" s="477"/>
      <c r="L123" s="477"/>
      <c r="M123" s="477"/>
      <c r="N123" s="477"/>
      <c r="O123" s="477"/>
      <c r="P123" s="477"/>
      <c r="Q123" s="477"/>
      <c r="R123" s="478"/>
      <c r="S123" s="478"/>
      <c r="T123" s="478"/>
      <c r="U123" s="478"/>
      <c r="V123" s="478"/>
      <c r="W123" s="478"/>
      <c r="X123" s="478"/>
      <c r="Y123" s="478"/>
      <c r="Z123" s="478"/>
      <c r="AA123" s="479"/>
      <c r="AB123" s="479"/>
      <c r="AC123" s="479"/>
      <c r="AD123" s="480"/>
      <c r="AE123" s="480"/>
      <c r="AF123" s="480"/>
      <c r="AG123" s="480"/>
      <c r="AH123" s="480"/>
      <c r="AI123" s="480"/>
      <c r="AJ123" s="480"/>
      <c r="AK123" s="480"/>
      <c r="AL123" s="480"/>
      <c r="AM123" s="480"/>
    </row>
    <row r="124" spans="1:45" ht="30" customHeight="1" x14ac:dyDescent="0.4">
      <c r="D124" s="477" t="s">
        <v>35</v>
      </c>
      <c r="E124" s="477"/>
      <c r="F124" s="477"/>
      <c r="G124" s="477"/>
      <c r="H124" s="477"/>
      <c r="I124" s="477"/>
      <c r="J124" s="477"/>
      <c r="K124" s="477"/>
      <c r="L124" s="477"/>
      <c r="M124" s="477"/>
      <c r="N124" s="477"/>
      <c r="O124" s="477"/>
      <c r="P124" s="477"/>
      <c r="Q124" s="477"/>
      <c r="R124" s="478"/>
      <c r="S124" s="478"/>
      <c r="T124" s="478"/>
      <c r="U124" s="478"/>
      <c r="V124" s="478"/>
      <c r="W124" s="478"/>
      <c r="X124" s="478"/>
      <c r="Y124" s="478"/>
      <c r="Z124" s="478"/>
      <c r="AA124" s="479"/>
      <c r="AB124" s="479"/>
      <c r="AC124" s="479"/>
      <c r="AD124" s="480"/>
      <c r="AE124" s="480"/>
      <c r="AF124" s="480"/>
      <c r="AG124" s="480"/>
      <c r="AH124" s="480"/>
      <c r="AI124" s="480"/>
      <c r="AJ124" s="480"/>
      <c r="AK124" s="480"/>
      <c r="AL124" s="480"/>
      <c r="AM124" s="480"/>
    </row>
    <row r="125" spans="1:45" ht="14.25" customHeight="1" x14ac:dyDescent="0.4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</row>
    <row r="126" spans="1:45" ht="14.25" customHeight="1" x14ac:dyDescent="0.4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</row>
    <row r="127" spans="1:45" ht="27.75" customHeight="1" x14ac:dyDescent="0.4">
      <c r="A127" s="58"/>
      <c r="B127" s="58"/>
      <c r="C127" s="70"/>
      <c r="D127" s="70"/>
      <c r="E127" s="70"/>
      <c r="F127" s="70"/>
      <c r="G127" s="85"/>
      <c r="H127" s="86"/>
      <c r="I127" s="86"/>
      <c r="J127" s="86"/>
      <c r="K127" s="86"/>
      <c r="L127" s="86"/>
      <c r="M127" s="86"/>
      <c r="N127" s="86"/>
      <c r="O127" s="86"/>
      <c r="P127" s="70"/>
      <c r="Q127" s="70"/>
      <c r="R127" s="70"/>
      <c r="S127" s="70"/>
      <c r="T127" s="75"/>
      <c r="U127" s="80"/>
      <c r="V127" s="80"/>
      <c r="W127" s="80"/>
      <c r="X127" s="80"/>
      <c r="Y127" s="80"/>
      <c r="Z127" s="80"/>
      <c r="AA127" s="80"/>
      <c r="AB127" s="80"/>
      <c r="AC127" s="70"/>
      <c r="AD127" s="70"/>
      <c r="AE127" s="70"/>
      <c r="AF127" s="70"/>
      <c r="AG127" s="87"/>
      <c r="AH127" s="87"/>
      <c r="AI127" s="87"/>
      <c r="AJ127" s="87"/>
      <c r="AK127" s="87"/>
      <c r="AL127" s="87"/>
      <c r="AM127" s="87"/>
      <c r="AN127" s="87"/>
      <c r="AO127" s="87"/>
      <c r="AP127" s="58"/>
      <c r="AQ127" s="58"/>
      <c r="AR127" s="58"/>
      <c r="AS127" s="58"/>
    </row>
    <row r="128" spans="1:45" ht="15" customHeight="1" x14ac:dyDescent="0.4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68"/>
      <c r="X128" s="68"/>
      <c r="Y128" s="68"/>
      <c r="Z128" s="68"/>
      <c r="AA128" s="68"/>
      <c r="AB128" s="68"/>
      <c r="AC128" s="6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</row>
    <row r="129" spans="1:45" ht="18" customHeight="1" x14ac:dyDescent="0.4">
      <c r="A129" s="58"/>
      <c r="B129" s="58"/>
      <c r="C129" s="71"/>
      <c r="D129" s="71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58"/>
      <c r="P129" s="58"/>
      <c r="Q129" s="71"/>
      <c r="R129" s="71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68"/>
      <c r="AD129" s="58"/>
      <c r="AE129" s="71"/>
      <c r="AF129" s="71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58"/>
      <c r="AR129" s="58"/>
      <c r="AS129" s="58"/>
    </row>
    <row r="130" spans="1:45" ht="18" customHeight="1" x14ac:dyDescent="0.4">
      <c r="A130" s="58"/>
      <c r="B130" s="58"/>
      <c r="C130" s="71"/>
      <c r="D130" s="71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58"/>
      <c r="P130" s="58"/>
      <c r="Q130" s="71"/>
      <c r="R130" s="71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68"/>
      <c r="AD130" s="58"/>
      <c r="AE130" s="71"/>
      <c r="AF130" s="71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58"/>
      <c r="AR130" s="58"/>
      <c r="AS130" s="58"/>
    </row>
    <row r="131" spans="1:45" ht="18" customHeight="1" x14ac:dyDescent="0.4">
      <c r="A131" s="58"/>
      <c r="B131" s="58"/>
      <c r="C131" s="71"/>
      <c r="D131" s="71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58"/>
      <c r="P131" s="58"/>
      <c r="Q131" s="71"/>
      <c r="R131" s="71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68"/>
      <c r="AD131" s="58"/>
      <c r="AE131" s="71"/>
      <c r="AF131" s="71"/>
      <c r="AG131" s="72"/>
      <c r="AH131" s="72"/>
      <c r="AI131" s="72"/>
      <c r="AJ131" s="72"/>
      <c r="AK131" s="72"/>
      <c r="AL131" s="72"/>
      <c r="AM131" s="72"/>
      <c r="AN131" s="72"/>
      <c r="AO131" s="72"/>
      <c r="AP131" s="72"/>
      <c r="AQ131" s="58"/>
      <c r="AR131" s="58"/>
      <c r="AS131" s="58"/>
    </row>
    <row r="132" spans="1:45" ht="18" customHeight="1" x14ac:dyDescent="0.4">
      <c r="A132" s="58"/>
      <c r="B132" s="58"/>
      <c r="C132" s="71"/>
      <c r="D132" s="71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58"/>
      <c r="P132" s="58"/>
      <c r="Q132" s="71"/>
      <c r="R132" s="71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68"/>
      <c r="AD132" s="58"/>
      <c r="AE132" s="71"/>
      <c r="AF132" s="71"/>
      <c r="AG132" s="72"/>
      <c r="AH132" s="72"/>
      <c r="AI132" s="72"/>
      <c r="AJ132" s="72"/>
      <c r="AK132" s="72"/>
      <c r="AL132" s="72"/>
      <c r="AM132" s="72"/>
      <c r="AN132" s="72"/>
      <c r="AO132" s="72"/>
      <c r="AP132" s="72"/>
      <c r="AQ132" s="58"/>
      <c r="AR132" s="58"/>
      <c r="AS132" s="58"/>
    </row>
    <row r="133" spans="1:45" ht="18" customHeight="1" x14ac:dyDescent="0.4">
      <c r="A133" s="58"/>
      <c r="B133" s="58"/>
      <c r="C133" s="71"/>
      <c r="D133" s="71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58"/>
      <c r="P133" s="58"/>
      <c r="Q133" s="71"/>
      <c r="R133" s="71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68"/>
      <c r="AD133" s="58"/>
      <c r="AE133" s="71"/>
      <c r="AF133" s="71"/>
      <c r="AG133" s="72"/>
      <c r="AH133" s="102"/>
      <c r="AI133" s="102"/>
      <c r="AJ133" s="102"/>
      <c r="AK133" s="102"/>
      <c r="AL133" s="102"/>
      <c r="AM133" s="102"/>
      <c r="AN133" s="102"/>
      <c r="AO133" s="102"/>
      <c r="AP133" s="102"/>
      <c r="AQ133" s="58"/>
      <c r="AR133" s="58"/>
      <c r="AS133" s="58"/>
    </row>
    <row r="134" spans="1:45" ht="15" customHeight="1" x14ac:dyDescent="0.4">
      <c r="A134" s="58"/>
      <c r="B134" s="58"/>
      <c r="C134" s="94"/>
      <c r="D134" s="95"/>
      <c r="E134" s="95"/>
      <c r="F134" s="95"/>
      <c r="G134" s="95"/>
      <c r="H134" s="95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95"/>
      <c r="U134" s="58"/>
      <c r="V134" s="95"/>
      <c r="W134" s="58"/>
      <c r="X134" s="95"/>
      <c r="Y134" s="58"/>
      <c r="Z134" s="95"/>
      <c r="AA134" s="58"/>
      <c r="AB134" s="95"/>
      <c r="AC134" s="95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</row>
    <row r="135" spans="1:45" ht="21" customHeight="1" x14ac:dyDescent="0.4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</row>
    <row r="136" spans="1:45" ht="20.25" customHeight="1" x14ac:dyDescent="0.4">
      <c r="A136" s="58"/>
      <c r="B136" s="96"/>
      <c r="C136" s="76"/>
      <c r="D136" s="76"/>
      <c r="E136" s="76"/>
      <c r="F136" s="76"/>
      <c r="G136" s="77"/>
      <c r="H136" s="77"/>
      <c r="I136" s="77"/>
      <c r="J136" s="76"/>
      <c r="K136" s="99"/>
      <c r="L136" s="99"/>
      <c r="M136" s="99"/>
      <c r="N136" s="99"/>
      <c r="O136" s="99"/>
      <c r="P136" s="99"/>
      <c r="Q136" s="76"/>
      <c r="R136" s="76"/>
      <c r="S136" s="76"/>
      <c r="T136" s="76"/>
      <c r="U136" s="76"/>
      <c r="V136" s="76"/>
      <c r="W136" s="76"/>
      <c r="X136" s="76"/>
      <c r="Y136" s="99"/>
      <c r="Z136" s="99"/>
      <c r="AA136" s="99"/>
      <c r="AB136" s="99"/>
      <c r="AC136" s="99"/>
      <c r="AD136" s="99"/>
      <c r="AE136" s="76"/>
      <c r="AF136" s="77"/>
      <c r="AG136" s="77"/>
      <c r="AH136" s="77"/>
      <c r="AI136" s="76"/>
      <c r="AJ136" s="76"/>
      <c r="AK136" s="99"/>
      <c r="AL136" s="99"/>
      <c r="AM136" s="99"/>
      <c r="AN136" s="99"/>
      <c r="AO136" s="99"/>
      <c r="AP136" s="99"/>
      <c r="AQ136" s="58"/>
      <c r="AR136" s="58"/>
      <c r="AS136" s="58"/>
    </row>
    <row r="137" spans="1:45" ht="20.100000000000001" customHeight="1" x14ac:dyDescent="0.4">
      <c r="A137" s="58"/>
      <c r="B137" s="97"/>
      <c r="C137" s="98"/>
      <c r="D137" s="98"/>
      <c r="E137" s="98"/>
      <c r="F137" s="58"/>
      <c r="G137" s="79"/>
      <c r="H137" s="79"/>
      <c r="I137" s="79"/>
      <c r="J137" s="70"/>
      <c r="K137" s="99"/>
      <c r="L137" s="99"/>
      <c r="M137" s="99"/>
      <c r="N137" s="99"/>
      <c r="O137" s="99"/>
      <c r="P137" s="99"/>
      <c r="Q137" s="70"/>
      <c r="R137" s="70"/>
      <c r="S137" s="70"/>
      <c r="T137" s="70"/>
      <c r="U137" s="70"/>
      <c r="V137" s="70"/>
      <c r="W137" s="70"/>
      <c r="X137" s="70"/>
      <c r="Y137" s="99"/>
      <c r="Z137" s="99"/>
      <c r="AA137" s="99"/>
      <c r="AB137" s="99"/>
      <c r="AC137" s="99"/>
      <c r="AD137" s="99"/>
      <c r="AE137" s="58"/>
      <c r="AF137" s="79"/>
      <c r="AG137" s="79"/>
      <c r="AH137" s="79"/>
      <c r="AI137" s="70"/>
      <c r="AJ137" s="79"/>
      <c r="AK137" s="79"/>
      <c r="AL137" s="79"/>
      <c r="AM137" s="79"/>
      <c r="AN137" s="79"/>
      <c r="AO137" s="79"/>
      <c r="AP137" s="79"/>
      <c r="AQ137" s="58"/>
      <c r="AR137" s="58"/>
      <c r="AS137" s="58"/>
    </row>
    <row r="138" spans="1:45" ht="20.100000000000001" customHeight="1" x14ac:dyDescent="0.4">
      <c r="A138" s="58"/>
      <c r="B138" s="97"/>
      <c r="C138" s="98"/>
      <c r="D138" s="98"/>
      <c r="E138" s="98"/>
      <c r="F138" s="79"/>
      <c r="G138" s="79"/>
      <c r="H138" s="79"/>
      <c r="I138" s="79"/>
      <c r="J138" s="99"/>
      <c r="K138" s="99"/>
      <c r="L138" s="99"/>
      <c r="M138" s="99"/>
      <c r="N138" s="99"/>
      <c r="O138" s="99"/>
      <c r="P138" s="99"/>
      <c r="Q138" s="70"/>
      <c r="R138" s="70"/>
      <c r="S138" s="70"/>
      <c r="T138" s="70"/>
      <c r="U138" s="70"/>
      <c r="V138" s="70"/>
      <c r="W138" s="70"/>
      <c r="X138" s="99"/>
      <c r="Y138" s="99"/>
      <c r="Z138" s="99"/>
      <c r="AA138" s="99"/>
      <c r="AB138" s="99"/>
      <c r="AC138" s="99"/>
      <c r="AD138" s="99"/>
      <c r="AE138" s="79"/>
      <c r="AF138" s="79"/>
      <c r="AG138" s="79"/>
      <c r="AH138" s="79"/>
      <c r="AI138" s="79"/>
      <c r="AJ138" s="79"/>
      <c r="AK138" s="79"/>
      <c r="AL138" s="79"/>
      <c r="AM138" s="79"/>
      <c r="AN138" s="79"/>
      <c r="AO138" s="79"/>
      <c r="AP138" s="79"/>
      <c r="AQ138" s="58"/>
      <c r="AR138" s="58"/>
      <c r="AS138" s="58"/>
    </row>
    <row r="139" spans="1:45" ht="20.100000000000001" customHeight="1" x14ac:dyDescent="0.4">
      <c r="A139" s="58"/>
      <c r="B139" s="97"/>
      <c r="C139" s="98"/>
      <c r="D139" s="98"/>
      <c r="E139" s="98"/>
      <c r="F139" s="58"/>
      <c r="G139" s="79"/>
      <c r="H139" s="79"/>
      <c r="I139" s="79"/>
      <c r="J139" s="70"/>
      <c r="K139" s="99"/>
      <c r="L139" s="99"/>
      <c r="M139" s="99"/>
      <c r="N139" s="99"/>
      <c r="O139" s="99"/>
      <c r="P139" s="99"/>
      <c r="Q139" s="70"/>
      <c r="R139" s="70"/>
      <c r="S139" s="70"/>
      <c r="T139" s="70"/>
      <c r="U139" s="70"/>
      <c r="V139" s="70"/>
      <c r="W139" s="70"/>
      <c r="X139" s="70"/>
      <c r="Y139" s="99"/>
      <c r="Z139" s="99"/>
      <c r="AA139" s="99"/>
      <c r="AB139" s="99"/>
      <c r="AC139" s="99"/>
      <c r="AD139" s="99"/>
      <c r="AE139" s="58"/>
      <c r="AF139" s="79"/>
      <c r="AG139" s="79"/>
      <c r="AH139" s="79"/>
      <c r="AI139" s="70"/>
      <c r="AJ139" s="79"/>
      <c r="AK139" s="79"/>
      <c r="AL139" s="79"/>
      <c r="AM139" s="79"/>
      <c r="AN139" s="79"/>
      <c r="AO139" s="79"/>
      <c r="AP139" s="79"/>
      <c r="AQ139" s="58"/>
      <c r="AR139" s="58"/>
      <c r="AS139" s="58"/>
    </row>
    <row r="140" spans="1:45" ht="20.100000000000001" customHeight="1" x14ac:dyDescent="0.4">
      <c r="A140" s="58"/>
      <c r="B140" s="97"/>
      <c r="C140" s="98"/>
      <c r="D140" s="98"/>
      <c r="E140" s="98"/>
      <c r="F140" s="79"/>
      <c r="G140" s="79"/>
      <c r="H140" s="79"/>
      <c r="I140" s="79"/>
      <c r="J140" s="99"/>
      <c r="K140" s="99"/>
      <c r="L140" s="99"/>
      <c r="M140" s="99"/>
      <c r="N140" s="99"/>
      <c r="O140" s="99"/>
      <c r="P140" s="99"/>
      <c r="Q140" s="70"/>
      <c r="R140" s="70"/>
      <c r="S140" s="70"/>
      <c r="T140" s="70"/>
      <c r="U140" s="70"/>
      <c r="V140" s="70"/>
      <c r="W140" s="70"/>
      <c r="X140" s="99"/>
      <c r="Y140" s="99"/>
      <c r="Z140" s="99"/>
      <c r="AA140" s="99"/>
      <c r="AB140" s="99"/>
      <c r="AC140" s="99"/>
      <c r="AD140" s="99"/>
      <c r="AE140" s="79"/>
      <c r="AF140" s="79"/>
      <c r="AG140" s="79"/>
      <c r="AH140" s="79"/>
      <c r="AI140" s="79"/>
      <c r="AJ140" s="79"/>
      <c r="AK140" s="79"/>
      <c r="AL140" s="79"/>
      <c r="AM140" s="79"/>
      <c r="AN140" s="79"/>
      <c r="AO140" s="79"/>
      <c r="AP140" s="79"/>
      <c r="AQ140" s="58"/>
      <c r="AR140" s="58"/>
      <c r="AS140" s="58"/>
    </row>
    <row r="141" spans="1:45" ht="20.100000000000001" customHeight="1" x14ac:dyDescent="0.4">
      <c r="A141" s="58"/>
      <c r="B141" s="97"/>
      <c r="C141" s="98"/>
      <c r="D141" s="98"/>
      <c r="E141" s="98"/>
      <c r="F141" s="58"/>
      <c r="G141" s="79"/>
      <c r="H141" s="79"/>
      <c r="I141" s="79"/>
      <c r="J141" s="70"/>
      <c r="K141" s="99"/>
      <c r="L141" s="99"/>
      <c r="M141" s="99"/>
      <c r="N141" s="99"/>
      <c r="O141" s="99"/>
      <c r="P141" s="99"/>
      <c r="Q141" s="70"/>
      <c r="R141" s="70"/>
      <c r="S141" s="70"/>
      <c r="T141" s="70"/>
      <c r="U141" s="70"/>
      <c r="V141" s="70"/>
      <c r="W141" s="70"/>
      <c r="X141" s="70"/>
      <c r="Y141" s="99"/>
      <c r="Z141" s="99"/>
      <c r="AA141" s="99"/>
      <c r="AB141" s="99"/>
      <c r="AC141" s="99"/>
      <c r="AD141" s="99"/>
      <c r="AE141" s="58"/>
      <c r="AF141" s="79"/>
      <c r="AG141" s="79"/>
      <c r="AH141" s="79"/>
      <c r="AI141" s="70"/>
      <c r="AJ141" s="79"/>
      <c r="AK141" s="79"/>
      <c r="AL141" s="79"/>
      <c r="AM141" s="79"/>
      <c r="AN141" s="79"/>
      <c r="AO141" s="79"/>
      <c r="AP141" s="79"/>
      <c r="AQ141" s="58"/>
      <c r="AR141" s="58"/>
      <c r="AS141" s="58"/>
    </row>
    <row r="142" spans="1:45" ht="20.100000000000001" customHeight="1" x14ac:dyDescent="0.4">
      <c r="A142" s="58"/>
      <c r="B142" s="97"/>
      <c r="C142" s="98"/>
      <c r="D142" s="98"/>
      <c r="E142" s="98"/>
      <c r="F142" s="79"/>
      <c r="G142" s="79"/>
      <c r="H142" s="79"/>
      <c r="I142" s="79"/>
      <c r="J142" s="99"/>
      <c r="K142" s="99"/>
      <c r="L142" s="99"/>
      <c r="M142" s="99"/>
      <c r="N142" s="99"/>
      <c r="O142" s="99"/>
      <c r="P142" s="99"/>
      <c r="Q142" s="70"/>
      <c r="R142" s="70"/>
      <c r="S142" s="70"/>
      <c r="T142" s="70"/>
      <c r="U142" s="70"/>
      <c r="V142" s="70"/>
      <c r="W142" s="70"/>
      <c r="X142" s="99"/>
      <c r="Y142" s="99"/>
      <c r="Z142" s="99"/>
      <c r="AA142" s="99"/>
      <c r="AB142" s="99"/>
      <c r="AC142" s="99"/>
      <c r="AD142" s="99"/>
      <c r="AE142" s="79"/>
      <c r="AF142" s="79"/>
      <c r="AG142" s="79"/>
      <c r="AH142" s="79"/>
      <c r="AI142" s="79"/>
      <c r="AJ142" s="79"/>
      <c r="AK142" s="79"/>
      <c r="AL142" s="79"/>
      <c r="AM142" s="79"/>
      <c r="AN142" s="79"/>
      <c r="AO142" s="79"/>
      <c r="AP142" s="79"/>
      <c r="AQ142" s="58"/>
      <c r="AR142" s="58"/>
      <c r="AS142" s="58"/>
    </row>
    <row r="143" spans="1:45" ht="20.100000000000001" customHeight="1" x14ac:dyDescent="0.4">
      <c r="A143" s="58"/>
      <c r="B143" s="97"/>
      <c r="C143" s="98"/>
      <c r="D143" s="98"/>
      <c r="E143" s="98"/>
      <c r="F143" s="58"/>
      <c r="G143" s="79"/>
      <c r="H143" s="79"/>
      <c r="I143" s="79"/>
      <c r="J143" s="70"/>
      <c r="K143" s="99"/>
      <c r="L143" s="99"/>
      <c r="M143" s="99"/>
      <c r="N143" s="99"/>
      <c r="O143" s="99"/>
      <c r="P143" s="99"/>
      <c r="Q143" s="70"/>
      <c r="R143" s="70"/>
      <c r="S143" s="70"/>
      <c r="T143" s="70"/>
      <c r="U143" s="70"/>
      <c r="V143" s="70"/>
      <c r="W143" s="70"/>
      <c r="X143" s="70"/>
      <c r="Y143" s="99"/>
      <c r="Z143" s="99"/>
      <c r="AA143" s="99"/>
      <c r="AB143" s="99"/>
      <c r="AC143" s="99"/>
      <c r="AD143" s="99"/>
      <c r="AE143" s="58"/>
      <c r="AF143" s="79"/>
      <c r="AG143" s="79"/>
      <c r="AH143" s="79"/>
      <c r="AI143" s="70"/>
      <c r="AJ143" s="79"/>
      <c r="AK143" s="79"/>
      <c r="AL143" s="79"/>
      <c r="AM143" s="79"/>
      <c r="AN143" s="79"/>
      <c r="AO143" s="79"/>
      <c r="AP143" s="79"/>
      <c r="AQ143" s="58"/>
      <c r="AR143" s="58"/>
      <c r="AS143" s="58"/>
    </row>
    <row r="144" spans="1:45" ht="20.100000000000001" customHeight="1" x14ac:dyDescent="0.4">
      <c r="A144" s="58"/>
      <c r="B144" s="97"/>
      <c r="C144" s="98"/>
      <c r="D144" s="98"/>
      <c r="E144" s="98"/>
      <c r="F144" s="79"/>
      <c r="G144" s="79"/>
      <c r="H144" s="79"/>
      <c r="I144" s="79"/>
      <c r="J144" s="99"/>
      <c r="K144" s="99"/>
      <c r="L144" s="99"/>
      <c r="M144" s="99"/>
      <c r="N144" s="99"/>
      <c r="O144" s="99"/>
      <c r="P144" s="99"/>
      <c r="Q144" s="70"/>
      <c r="R144" s="70"/>
      <c r="S144" s="70"/>
      <c r="T144" s="70"/>
      <c r="U144" s="70"/>
      <c r="V144" s="70"/>
      <c r="W144" s="70"/>
      <c r="X144" s="99"/>
      <c r="Y144" s="99"/>
      <c r="Z144" s="99"/>
      <c r="AA144" s="99"/>
      <c r="AB144" s="99"/>
      <c r="AC144" s="99"/>
      <c r="AD144" s="99"/>
      <c r="AE144" s="79"/>
      <c r="AF144" s="79"/>
      <c r="AG144" s="79"/>
      <c r="AH144" s="79"/>
      <c r="AI144" s="79"/>
      <c r="AJ144" s="79"/>
      <c r="AK144" s="79"/>
      <c r="AL144" s="79"/>
      <c r="AM144" s="79"/>
      <c r="AN144" s="79"/>
      <c r="AO144" s="79"/>
      <c r="AP144" s="79"/>
      <c r="AQ144" s="58"/>
      <c r="AR144" s="58"/>
      <c r="AS144" s="58"/>
    </row>
    <row r="145" spans="1:45" ht="20.100000000000001" customHeight="1" x14ac:dyDescent="0.4">
      <c r="A145" s="58"/>
      <c r="B145" s="97"/>
      <c r="C145" s="98"/>
      <c r="D145" s="98"/>
      <c r="E145" s="98"/>
      <c r="F145" s="58"/>
      <c r="G145" s="79"/>
      <c r="H145" s="79"/>
      <c r="I145" s="79"/>
      <c r="J145" s="70"/>
      <c r="K145" s="99"/>
      <c r="L145" s="99"/>
      <c r="M145" s="99"/>
      <c r="N145" s="99"/>
      <c r="O145" s="99"/>
      <c r="P145" s="99"/>
      <c r="Q145" s="70"/>
      <c r="R145" s="70"/>
      <c r="S145" s="70"/>
      <c r="T145" s="70"/>
      <c r="U145" s="70"/>
      <c r="V145" s="70"/>
      <c r="W145" s="70"/>
      <c r="X145" s="70"/>
      <c r="Y145" s="99"/>
      <c r="Z145" s="99"/>
      <c r="AA145" s="99"/>
      <c r="AB145" s="99"/>
      <c r="AC145" s="99"/>
      <c r="AD145" s="99"/>
      <c r="AE145" s="58"/>
      <c r="AF145" s="79"/>
      <c r="AG145" s="79"/>
      <c r="AH145" s="79"/>
      <c r="AI145" s="70"/>
      <c r="AJ145" s="79"/>
      <c r="AK145" s="79"/>
      <c r="AL145" s="79"/>
      <c r="AM145" s="79"/>
      <c r="AN145" s="79"/>
      <c r="AO145" s="79"/>
      <c r="AP145" s="79"/>
      <c r="AQ145" s="58"/>
      <c r="AR145" s="58"/>
      <c r="AS145" s="58"/>
    </row>
    <row r="146" spans="1:45" ht="20.100000000000001" customHeight="1" x14ac:dyDescent="0.4">
      <c r="A146" s="58"/>
      <c r="B146" s="97"/>
      <c r="C146" s="98"/>
      <c r="D146" s="98"/>
      <c r="E146" s="98"/>
      <c r="F146" s="79"/>
      <c r="G146" s="79"/>
      <c r="H146" s="79"/>
      <c r="I146" s="79"/>
      <c r="J146" s="99"/>
      <c r="K146" s="99"/>
      <c r="L146" s="99"/>
      <c r="M146" s="99"/>
      <c r="N146" s="99"/>
      <c r="O146" s="99"/>
      <c r="P146" s="99"/>
      <c r="Q146" s="70"/>
      <c r="R146" s="70"/>
      <c r="S146" s="70"/>
      <c r="T146" s="70"/>
      <c r="U146" s="70"/>
      <c r="V146" s="70"/>
      <c r="W146" s="70"/>
      <c r="X146" s="99"/>
      <c r="Y146" s="99"/>
      <c r="Z146" s="99"/>
      <c r="AA146" s="99"/>
      <c r="AB146" s="99"/>
      <c r="AC146" s="99"/>
      <c r="AD146" s="99"/>
      <c r="AE146" s="79"/>
      <c r="AF146" s="79"/>
      <c r="AG146" s="79"/>
      <c r="AH146" s="79"/>
      <c r="AI146" s="79"/>
      <c r="AJ146" s="79"/>
      <c r="AK146" s="79"/>
      <c r="AL146" s="79"/>
      <c r="AM146" s="79"/>
      <c r="AN146" s="79"/>
      <c r="AO146" s="79"/>
      <c r="AP146" s="79"/>
      <c r="AQ146" s="58"/>
      <c r="AR146" s="58"/>
      <c r="AS146" s="58"/>
    </row>
    <row r="147" spans="1:45" ht="20.100000000000001" customHeight="1" x14ac:dyDescent="0.4">
      <c r="A147" s="58"/>
      <c r="B147" s="97"/>
      <c r="C147" s="98"/>
      <c r="D147" s="98"/>
      <c r="E147" s="98"/>
      <c r="F147" s="58"/>
      <c r="G147" s="79"/>
      <c r="H147" s="79"/>
      <c r="I147" s="79"/>
      <c r="J147" s="70"/>
      <c r="K147" s="99"/>
      <c r="L147" s="99"/>
      <c r="M147" s="99"/>
      <c r="N147" s="99"/>
      <c r="O147" s="99"/>
      <c r="P147" s="99"/>
      <c r="Q147" s="70"/>
      <c r="R147" s="70"/>
      <c r="S147" s="70"/>
      <c r="T147" s="70"/>
      <c r="U147" s="70"/>
      <c r="V147" s="70"/>
      <c r="W147" s="70"/>
      <c r="X147" s="70"/>
      <c r="Y147" s="99"/>
      <c r="Z147" s="99"/>
      <c r="AA147" s="99"/>
      <c r="AB147" s="99"/>
      <c r="AC147" s="99"/>
      <c r="AD147" s="99"/>
      <c r="AE147" s="58"/>
      <c r="AF147" s="79"/>
      <c r="AG147" s="79"/>
      <c r="AH147" s="79"/>
      <c r="AI147" s="70"/>
      <c r="AJ147" s="79"/>
      <c r="AK147" s="79"/>
      <c r="AL147" s="79"/>
      <c r="AM147" s="79"/>
      <c r="AN147" s="79"/>
      <c r="AO147" s="79"/>
      <c r="AP147" s="79"/>
      <c r="AQ147" s="58"/>
      <c r="AR147" s="58"/>
      <c r="AS147" s="58"/>
    </row>
    <row r="148" spans="1:45" ht="20.100000000000001" customHeight="1" x14ac:dyDescent="0.4">
      <c r="A148" s="58"/>
      <c r="B148" s="97"/>
      <c r="C148" s="98"/>
      <c r="D148" s="98"/>
      <c r="E148" s="98"/>
      <c r="F148" s="79"/>
      <c r="G148" s="79"/>
      <c r="H148" s="79"/>
      <c r="I148" s="79"/>
      <c r="J148" s="99"/>
      <c r="K148" s="99"/>
      <c r="L148" s="99"/>
      <c r="M148" s="99"/>
      <c r="N148" s="99"/>
      <c r="O148" s="99"/>
      <c r="P148" s="99"/>
      <c r="Q148" s="70"/>
      <c r="R148" s="70"/>
      <c r="S148" s="70"/>
      <c r="T148" s="70"/>
      <c r="U148" s="70"/>
      <c r="V148" s="70"/>
      <c r="W148" s="70"/>
      <c r="X148" s="99"/>
      <c r="Y148" s="99"/>
      <c r="Z148" s="99"/>
      <c r="AA148" s="99"/>
      <c r="AB148" s="99"/>
      <c r="AC148" s="99"/>
      <c r="AD148" s="99"/>
      <c r="AE148" s="79"/>
      <c r="AF148" s="79"/>
      <c r="AG148" s="79"/>
      <c r="AH148" s="79"/>
      <c r="AI148" s="79"/>
      <c r="AJ148" s="79"/>
      <c r="AK148" s="79"/>
      <c r="AL148" s="79"/>
      <c r="AM148" s="79"/>
      <c r="AN148" s="79"/>
      <c r="AO148" s="79"/>
      <c r="AP148" s="79"/>
      <c r="AQ148" s="58"/>
      <c r="AR148" s="58"/>
      <c r="AS148" s="58"/>
    </row>
    <row r="149" spans="1:45" ht="20.100000000000001" customHeight="1" x14ac:dyDescent="0.4">
      <c r="A149" s="58"/>
      <c r="B149" s="97"/>
      <c r="C149" s="98"/>
      <c r="D149" s="98"/>
      <c r="E149" s="98"/>
      <c r="F149" s="58"/>
      <c r="G149" s="79"/>
      <c r="H149" s="79"/>
      <c r="I149" s="79"/>
      <c r="J149" s="70"/>
      <c r="K149" s="99"/>
      <c r="L149" s="99"/>
      <c r="M149" s="99"/>
      <c r="N149" s="99"/>
      <c r="O149" s="99"/>
      <c r="P149" s="99"/>
      <c r="Q149" s="70"/>
      <c r="R149" s="70"/>
      <c r="S149" s="70"/>
      <c r="T149" s="70"/>
      <c r="U149" s="70"/>
      <c r="V149" s="70"/>
      <c r="W149" s="70"/>
      <c r="X149" s="70"/>
      <c r="Y149" s="99"/>
      <c r="Z149" s="99"/>
      <c r="AA149" s="99"/>
      <c r="AB149" s="99"/>
      <c r="AC149" s="99"/>
      <c r="AD149" s="99"/>
      <c r="AE149" s="58"/>
      <c r="AF149" s="79"/>
      <c r="AG149" s="79"/>
      <c r="AH149" s="79"/>
      <c r="AI149" s="70"/>
      <c r="AJ149" s="79"/>
      <c r="AK149" s="79"/>
      <c r="AL149" s="79"/>
      <c r="AM149" s="79"/>
      <c r="AN149" s="79"/>
      <c r="AO149" s="79"/>
      <c r="AP149" s="79"/>
      <c r="AQ149" s="58"/>
      <c r="AR149" s="58"/>
      <c r="AS149" s="58"/>
    </row>
    <row r="150" spans="1:45" ht="20.100000000000001" customHeight="1" x14ac:dyDescent="0.4">
      <c r="A150" s="58"/>
      <c r="B150" s="97"/>
      <c r="C150" s="98"/>
      <c r="D150" s="98"/>
      <c r="E150" s="98"/>
      <c r="F150" s="79"/>
      <c r="G150" s="79"/>
      <c r="H150" s="79"/>
      <c r="I150" s="79"/>
      <c r="J150" s="99"/>
      <c r="K150" s="99"/>
      <c r="L150" s="99"/>
      <c r="M150" s="99"/>
      <c r="N150" s="99"/>
      <c r="O150" s="99"/>
      <c r="P150" s="99"/>
      <c r="Q150" s="70"/>
      <c r="R150" s="70"/>
      <c r="S150" s="70"/>
      <c r="T150" s="70"/>
      <c r="U150" s="70"/>
      <c r="V150" s="70"/>
      <c r="W150" s="70"/>
      <c r="X150" s="99"/>
      <c r="Y150" s="99"/>
      <c r="Z150" s="99"/>
      <c r="AA150" s="99"/>
      <c r="AB150" s="99"/>
      <c r="AC150" s="99"/>
      <c r="AD150" s="99"/>
      <c r="AE150" s="79"/>
      <c r="AF150" s="79"/>
      <c r="AG150" s="79"/>
      <c r="AH150" s="79"/>
      <c r="AI150" s="79"/>
      <c r="AJ150" s="79"/>
      <c r="AK150" s="79"/>
      <c r="AL150" s="79"/>
      <c r="AM150" s="79"/>
      <c r="AN150" s="79"/>
      <c r="AO150" s="79"/>
      <c r="AP150" s="79"/>
      <c r="AQ150" s="58"/>
      <c r="AR150" s="58"/>
      <c r="AS150" s="58"/>
    </row>
    <row r="151" spans="1:45" s="55" customFormat="1" ht="15.75" customHeight="1" x14ac:dyDescent="0.4">
      <c r="A151" s="58"/>
      <c r="B151" s="97"/>
      <c r="C151" s="98"/>
      <c r="D151" s="98"/>
      <c r="E151" s="98"/>
      <c r="F151" s="97"/>
      <c r="G151" s="97"/>
      <c r="H151" s="97"/>
      <c r="I151" s="97"/>
      <c r="J151" s="97"/>
      <c r="K151" s="70"/>
      <c r="L151" s="70"/>
      <c r="M151" s="58"/>
      <c r="N151" s="71"/>
      <c r="O151" s="58"/>
      <c r="P151" s="70"/>
      <c r="Q151" s="70"/>
      <c r="R151" s="97"/>
      <c r="S151" s="97"/>
      <c r="T151" s="97"/>
      <c r="U151" s="97"/>
      <c r="V151" s="97"/>
      <c r="W151" s="100"/>
      <c r="X151" s="100"/>
      <c r="Y151" s="100"/>
      <c r="Z151" s="100"/>
      <c r="AA151" s="100"/>
      <c r="AB151" s="100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</row>
    <row r="152" spans="1:45" ht="20.25" customHeight="1" x14ac:dyDescent="0.4">
      <c r="A152" s="58"/>
      <c r="B152" s="58"/>
      <c r="C152" s="58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70"/>
      <c r="S152" s="70"/>
      <c r="T152" s="70"/>
      <c r="U152" s="70"/>
      <c r="V152" s="70"/>
      <c r="W152" s="70"/>
      <c r="X152" s="70"/>
      <c r="Y152" s="70"/>
      <c r="Z152" s="70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58"/>
      <c r="AO152" s="58"/>
      <c r="AP152" s="58"/>
      <c r="AQ152" s="58"/>
      <c r="AR152" s="58"/>
      <c r="AS152" s="58"/>
    </row>
    <row r="153" spans="1:45" ht="30" customHeight="1" x14ac:dyDescent="0.4">
      <c r="A153" s="58"/>
      <c r="B153" s="58"/>
      <c r="C153" s="58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70"/>
      <c r="S153" s="70"/>
      <c r="T153" s="70"/>
      <c r="U153" s="70"/>
      <c r="V153" s="70"/>
      <c r="W153" s="70"/>
      <c r="X153" s="70"/>
      <c r="Y153" s="70"/>
      <c r="Z153" s="70"/>
      <c r="AA153" s="101"/>
      <c r="AB153" s="101"/>
      <c r="AC153" s="101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58"/>
      <c r="AO153" s="58"/>
      <c r="AP153" s="58"/>
      <c r="AQ153" s="58"/>
      <c r="AR153" s="58"/>
      <c r="AS153" s="58"/>
    </row>
    <row r="154" spans="1:45" ht="30" customHeight="1" x14ac:dyDescent="0.4">
      <c r="A154" s="58"/>
      <c r="B154" s="58"/>
      <c r="C154" s="58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70"/>
      <c r="S154" s="70"/>
      <c r="T154" s="70"/>
      <c r="U154" s="70"/>
      <c r="V154" s="70"/>
      <c r="W154" s="70"/>
      <c r="X154" s="70"/>
      <c r="Y154" s="70"/>
      <c r="Z154" s="70"/>
      <c r="AA154" s="71"/>
      <c r="AB154" s="71"/>
      <c r="AC154" s="71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58"/>
      <c r="AO154" s="58"/>
      <c r="AP154" s="58"/>
      <c r="AQ154" s="58"/>
      <c r="AR154" s="58"/>
      <c r="AS154" s="58"/>
    </row>
    <row r="155" spans="1:45" ht="30" customHeight="1" x14ac:dyDescent="0.4">
      <c r="A155" s="58"/>
      <c r="B155" s="58"/>
      <c r="C155" s="58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70"/>
      <c r="S155" s="70"/>
      <c r="T155" s="70"/>
      <c r="U155" s="70"/>
      <c r="V155" s="70"/>
      <c r="W155" s="70"/>
      <c r="X155" s="70"/>
      <c r="Y155" s="70"/>
      <c r="Z155" s="70"/>
      <c r="AA155" s="71"/>
      <c r="AB155" s="71"/>
      <c r="AC155" s="71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58"/>
      <c r="AO155" s="58"/>
      <c r="AP155" s="58"/>
      <c r="AQ155" s="58"/>
      <c r="AR155" s="58"/>
      <c r="AS155" s="58"/>
    </row>
  </sheetData>
  <mergeCells count="536">
    <mergeCell ref="C3:F3"/>
    <mergeCell ref="G3:O3"/>
    <mergeCell ref="P3:S3"/>
    <mergeCell ref="T3:AB3"/>
    <mergeCell ref="AC3:AF3"/>
    <mergeCell ref="AG3:AL3"/>
    <mergeCell ref="AM3:AO3"/>
    <mergeCell ref="C5:D5"/>
    <mergeCell ref="E5:N5"/>
    <mergeCell ref="Q5:R5"/>
    <mergeCell ref="S5:AB5"/>
    <mergeCell ref="AE5:AF5"/>
    <mergeCell ref="AG5:AP5"/>
    <mergeCell ref="C6:D6"/>
    <mergeCell ref="E6:N6"/>
    <mergeCell ref="Q6:R6"/>
    <mergeCell ref="S6:AB6"/>
    <mergeCell ref="AE6:AF6"/>
    <mergeCell ref="AG6:AP6"/>
    <mergeCell ref="C7:D7"/>
    <mergeCell ref="E7:N7"/>
    <mergeCell ref="Q7:R7"/>
    <mergeCell ref="S7:AB7"/>
    <mergeCell ref="AE7:AF7"/>
    <mergeCell ref="AG7:AP7"/>
    <mergeCell ref="C8:D8"/>
    <mergeCell ref="E8:N8"/>
    <mergeCell ref="Q8:R8"/>
    <mergeCell ref="S8:AB8"/>
    <mergeCell ref="AE8:AF8"/>
    <mergeCell ref="AG8:AP8"/>
    <mergeCell ref="C9:D9"/>
    <mergeCell ref="E9:N9"/>
    <mergeCell ref="Q9:R9"/>
    <mergeCell ref="S9:AB9"/>
    <mergeCell ref="AE9:AF9"/>
    <mergeCell ref="AG9:AP9"/>
    <mergeCell ref="C10:D10"/>
    <mergeCell ref="E10:N10"/>
    <mergeCell ref="Q10:R10"/>
    <mergeCell ref="S10:AB10"/>
    <mergeCell ref="AE10:AF10"/>
    <mergeCell ref="AG10:AP10"/>
    <mergeCell ref="C12:E12"/>
    <mergeCell ref="F12:I12"/>
    <mergeCell ref="J12:P12"/>
    <mergeCell ref="Q12:W12"/>
    <mergeCell ref="X12:AD12"/>
    <mergeCell ref="AE12:AH12"/>
    <mergeCell ref="AI12:AP12"/>
    <mergeCell ref="D28:I28"/>
    <mergeCell ref="J28:Q28"/>
    <mergeCell ref="R28:Z28"/>
    <mergeCell ref="AA28:AC28"/>
    <mergeCell ref="AD28:AM28"/>
    <mergeCell ref="D29:I29"/>
    <mergeCell ref="J29:Q29"/>
    <mergeCell ref="R29:Z29"/>
    <mergeCell ref="AA29:AC29"/>
    <mergeCell ref="AD29:AM29"/>
    <mergeCell ref="D30:I30"/>
    <mergeCell ref="J30:Q30"/>
    <mergeCell ref="R30:Z30"/>
    <mergeCell ref="AA30:AC30"/>
    <mergeCell ref="AD30:AM30"/>
    <mergeCell ref="D31:I31"/>
    <mergeCell ref="J31:Q31"/>
    <mergeCell ref="R31:Z31"/>
    <mergeCell ref="AA31:AC31"/>
    <mergeCell ref="AD31:AM31"/>
    <mergeCell ref="AC34:AF34"/>
    <mergeCell ref="AG34:AL34"/>
    <mergeCell ref="AM34:AO34"/>
    <mergeCell ref="C36:D36"/>
    <mergeCell ref="E36:N36"/>
    <mergeCell ref="Q36:R36"/>
    <mergeCell ref="S36:AB36"/>
    <mergeCell ref="AE36:AF36"/>
    <mergeCell ref="AG36:AP36"/>
    <mergeCell ref="C37:D37"/>
    <mergeCell ref="E37:N37"/>
    <mergeCell ref="Q37:R37"/>
    <mergeCell ref="S37:AB37"/>
    <mergeCell ref="AE37:AF37"/>
    <mergeCell ref="AG37:AP37"/>
    <mergeCell ref="C38:D38"/>
    <mergeCell ref="E38:N38"/>
    <mergeCell ref="Q38:R38"/>
    <mergeCell ref="S38:AB38"/>
    <mergeCell ref="AE38:AF38"/>
    <mergeCell ref="AG38:AP38"/>
    <mergeCell ref="C39:D39"/>
    <mergeCell ref="E39:N39"/>
    <mergeCell ref="Q39:R39"/>
    <mergeCell ref="S39:AB39"/>
    <mergeCell ref="AE39:AF39"/>
    <mergeCell ref="AG39:AP39"/>
    <mergeCell ref="C40:D40"/>
    <mergeCell ref="E40:N40"/>
    <mergeCell ref="Q40:R40"/>
    <mergeCell ref="S40:AB40"/>
    <mergeCell ref="AE40:AF40"/>
    <mergeCell ref="AG40:AP40"/>
    <mergeCell ref="C41:D41"/>
    <mergeCell ref="E41:N41"/>
    <mergeCell ref="Q41:R41"/>
    <mergeCell ref="S41:AB41"/>
    <mergeCell ref="AE41:AF41"/>
    <mergeCell ref="AG41:AP41"/>
    <mergeCell ref="C43:E43"/>
    <mergeCell ref="F43:I43"/>
    <mergeCell ref="J43:P43"/>
    <mergeCell ref="Q43:W43"/>
    <mergeCell ref="X43:AD43"/>
    <mergeCell ref="AE43:AH43"/>
    <mergeCell ref="AI43:AP43"/>
    <mergeCell ref="D59:I59"/>
    <mergeCell ref="J59:Q59"/>
    <mergeCell ref="R59:Z59"/>
    <mergeCell ref="AA59:AC59"/>
    <mergeCell ref="AD59:AM59"/>
    <mergeCell ref="D60:I60"/>
    <mergeCell ref="J60:Q60"/>
    <mergeCell ref="R60:Z60"/>
    <mergeCell ref="AA60:AC60"/>
    <mergeCell ref="AD60:AM60"/>
    <mergeCell ref="D61:I61"/>
    <mergeCell ref="J61:Q61"/>
    <mergeCell ref="R61:Z61"/>
    <mergeCell ref="AA61:AC61"/>
    <mergeCell ref="AD61:AM61"/>
    <mergeCell ref="D62:I62"/>
    <mergeCell ref="J62:Q62"/>
    <mergeCell ref="R62:Z62"/>
    <mergeCell ref="AA62:AC62"/>
    <mergeCell ref="AD62:AM62"/>
    <mergeCell ref="C69:D69"/>
    <mergeCell ref="E69:N69"/>
    <mergeCell ref="Q69:R69"/>
    <mergeCell ref="S69:AB69"/>
    <mergeCell ref="AE69:AF69"/>
    <mergeCell ref="AG69:AP69"/>
    <mergeCell ref="C65:F65"/>
    <mergeCell ref="G65:O65"/>
    <mergeCell ref="P65:S65"/>
    <mergeCell ref="T65:AB65"/>
    <mergeCell ref="AC65:AF65"/>
    <mergeCell ref="AG65:AL65"/>
    <mergeCell ref="AM65:AO65"/>
    <mergeCell ref="C67:D67"/>
    <mergeCell ref="E67:N67"/>
    <mergeCell ref="Q67:R67"/>
    <mergeCell ref="S67:AB67"/>
    <mergeCell ref="AE67:AF67"/>
    <mergeCell ref="AG67:AP67"/>
    <mergeCell ref="F83:I84"/>
    <mergeCell ref="AI83:AP84"/>
    <mergeCell ref="V77:W78"/>
    <mergeCell ref="F81:I82"/>
    <mergeCell ref="C70:D70"/>
    <mergeCell ref="E70:N70"/>
    <mergeCell ref="Q70:R70"/>
    <mergeCell ref="S70:AB70"/>
    <mergeCell ref="AE70:AF70"/>
    <mergeCell ref="AG70:AP70"/>
    <mergeCell ref="C71:D71"/>
    <mergeCell ref="E71:N71"/>
    <mergeCell ref="Q71:R71"/>
    <mergeCell ref="S71:AB71"/>
    <mergeCell ref="AE71:AF71"/>
    <mergeCell ref="AG71:AP71"/>
    <mergeCell ref="D90:I90"/>
    <mergeCell ref="J90:Q90"/>
    <mergeCell ref="R90:Z90"/>
    <mergeCell ref="AA90:AC90"/>
    <mergeCell ref="AD90:AM90"/>
    <mergeCell ref="Q85:R86"/>
    <mergeCell ref="C85:E86"/>
    <mergeCell ref="AE85:AH86"/>
    <mergeCell ref="V85:W86"/>
    <mergeCell ref="J85:P86"/>
    <mergeCell ref="X85:AD86"/>
    <mergeCell ref="F85:I86"/>
    <mergeCell ref="AI85:AP86"/>
    <mergeCell ref="D91:I91"/>
    <mergeCell ref="J91:Q91"/>
    <mergeCell ref="R91:Z91"/>
    <mergeCell ref="AA91:AC91"/>
    <mergeCell ref="AD91:AM91"/>
    <mergeCell ref="D92:I92"/>
    <mergeCell ref="J92:Q92"/>
    <mergeCell ref="R92:Z92"/>
    <mergeCell ref="AA92:AC92"/>
    <mergeCell ref="AD92:AM92"/>
    <mergeCell ref="D93:I93"/>
    <mergeCell ref="J93:Q93"/>
    <mergeCell ref="R93:Z93"/>
    <mergeCell ref="AA93:AC93"/>
    <mergeCell ref="AD93:AM93"/>
    <mergeCell ref="C96:F96"/>
    <mergeCell ref="G96:O96"/>
    <mergeCell ref="P96:S96"/>
    <mergeCell ref="T96:AB96"/>
    <mergeCell ref="AC96:AF96"/>
    <mergeCell ref="AG96:AL96"/>
    <mergeCell ref="AM96:AO96"/>
    <mergeCell ref="C98:D98"/>
    <mergeCell ref="E98:N98"/>
    <mergeCell ref="Q98:R98"/>
    <mergeCell ref="S98:AB98"/>
    <mergeCell ref="AE98:AF98"/>
    <mergeCell ref="AG98:AP98"/>
    <mergeCell ref="C99:D99"/>
    <mergeCell ref="E99:N99"/>
    <mergeCell ref="Q99:R99"/>
    <mergeCell ref="S99:AB99"/>
    <mergeCell ref="AE99:AF99"/>
    <mergeCell ref="AG99:AP99"/>
    <mergeCell ref="C100:D100"/>
    <mergeCell ref="E100:N100"/>
    <mergeCell ref="Q100:R100"/>
    <mergeCell ref="S100:AB100"/>
    <mergeCell ref="AE100:AF100"/>
    <mergeCell ref="AG100:AP100"/>
    <mergeCell ref="C101:D101"/>
    <mergeCell ref="E101:N101"/>
    <mergeCell ref="Q101:R101"/>
    <mergeCell ref="S101:AB101"/>
    <mergeCell ref="AE101:AF101"/>
    <mergeCell ref="AG101:AP101"/>
    <mergeCell ref="C102:D102"/>
    <mergeCell ref="E102:N102"/>
    <mergeCell ref="Q102:R102"/>
    <mergeCell ref="S102:AB102"/>
    <mergeCell ref="AE102:AF102"/>
    <mergeCell ref="AG102:AP102"/>
    <mergeCell ref="AE103:AF103"/>
    <mergeCell ref="AG103:AP103"/>
    <mergeCell ref="C105:E105"/>
    <mergeCell ref="F105:I105"/>
    <mergeCell ref="J105:P105"/>
    <mergeCell ref="Q105:W105"/>
    <mergeCell ref="X105:AD105"/>
    <mergeCell ref="AE105:AH105"/>
    <mergeCell ref="AI105:AP105"/>
    <mergeCell ref="C103:D103"/>
    <mergeCell ref="D121:I121"/>
    <mergeCell ref="J121:Q121"/>
    <mergeCell ref="R121:Z121"/>
    <mergeCell ref="AA121:AC121"/>
    <mergeCell ref="AD121:AM121"/>
    <mergeCell ref="D122:I122"/>
    <mergeCell ref="J122:Q122"/>
    <mergeCell ref="R122:Z122"/>
    <mergeCell ref="AA122:AC122"/>
    <mergeCell ref="AD122:AM122"/>
    <mergeCell ref="D123:I123"/>
    <mergeCell ref="J123:Q123"/>
    <mergeCell ref="R123:Z123"/>
    <mergeCell ref="AA123:AC123"/>
    <mergeCell ref="AD123:AM123"/>
    <mergeCell ref="D124:I124"/>
    <mergeCell ref="J124:Q124"/>
    <mergeCell ref="R124:Z124"/>
    <mergeCell ref="AA124:AC124"/>
    <mergeCell ref="AD124:AM124"/>
    <mergeCell ref="B13:B14"/>
    <mergeCell ref="B15:B16"/>
    <mergeCell ref="B17:B18"/>
    <mergeCell ref="B19:B20"/>
    <mergeCell ref="B21:B22"/>
    <mergeCell ref="B23:B24"/>
    <mergeCell ref="B25:B26"/>
    <mergeCell ref="B44:B45"/>
    <mergeCell ref="B46:B47"/>
    <mergeCell ref="B48:B49"/>
    <mergeCell ref="B50:B51"/>
    <mergeCell ref="B52:B53"/>
    <mergeCell ref="B54:B55"/>
    <mergeCell ref="B56:B57"/>
    <mergeCell ref="B75:B76"/>
    <mergeCell ref="B77:B78"/>
    <mergeCell ref="B79:B80"/>
    <mergeCell ref="B81:B82"/>
    <mergeCell ref="B83:B84"/>
    <mergeCell ref="B85:B86"/>
    <mergeCell ref="B87:B88"/>
    <mergeCell ref="B106:B107"/>
    <mergeCell ref="B108:B109"/>
    <mergeCell ref="B110:B111"/>
    <mergeCell ref="B112:B113"/>
    <mergeCell ref="B114:B115"/>
    <mergeCell ref="B116:B117"/>
    <mergeCell ref="A94:AQ95"/>
    <mergeCell ref="C87:E88"/>
    <mergeCell ref="F87:I88"/>
    <mergeCell ref="J87:P88"/>
    <mergeCell ref="X87:AD88"/>
    <mergeCell ref="Q87:R88"/>
    <mergeCell ref="V87:W88"/>
    <mergeCell ref="AE87:AH88"/>
    <mergeCell ref="AI87:AP88"/>
    <mergeCell ref="Q83:R84"/>
    <mergeCell ref="C83:E84"/>
    <mergeCell ref="AE83:AH84"/>
    <mergeCell ref="V83:W84"/>
    <mergeCell ref="J83:P84"/>
    <mergeCell ref="X83:AD84"/>
    <mergeCell ref="B118:B119"/>
    <mergeCell ref="F118:I119"/>
    <mergeCell ref="J118:P119"/>
    <mergeCell ref="X118:AD119"/>
    <mergeCell ref="Q118:R119"/>
    <mergeCell ref="V118:W119"/>
    <mergeCell ref="AE118:AH119"/>
    <mergeCell ref="AI118:AP119"/>
    <mergeCell ref="J112:P113"/>
    <mergeCell ref="X112:AD113"/>
    <mergeCell ref="F108:I109"/>
    <mergeCell ref="J108:P109"/>
    <mergeCell ref="X108:AD109"/>
    <mergeCell ref="AI108:AP109"/>
    <mergeCell ref="E103:N103"/>
    <mergeCell ref="Q103:R103"/>
    <mergeCell ref="S103:AB103"/>
    <mergeCell ref="C116:E117"/>
    <mergeCell ref="AE116:AH117"/>
    <mergeCell ref="V116:W117"/>
    <mergeCell ref="Q116:R117"/>
    <mergeCell ref="J116:P117"/>
    <mergeCell ref="X116:AD117"/>
    <mergeCell ref="AI116:AP117"/>
    <mergeCell ref="F116:I117"/>
    <mergeCell ref="AI110:AP111"/>
    <mergeCell ref="J110:P111"/>
    <mergeCell ref="X110:AD111"/>
    <mergeCell ref="AI112:AP113"/>
    <mergeCell ref="F112:I113"/>
    <mergeCell ref="F110:I111"/>
    <mergeCell ref="F106:I107"/>
    <mergeCell ref="J106:P107"/>
    <mergeCell ref="X106:AD107"/>
    <mergeCell ref="J25:P26"/>
    <mergeCell ref="X25:AD26"/>
    <mergeCell ref="Q25:R26"/>
    <mergeCell ref="V25:W26"/>
    <mergeCell ref="AE25:AH26"/>
    <mergeCell ref="AI25:AP26"/>
    <mergeCell ref="F56:I57"/>
    <mergeCell ref="J56:P57"/>
    <mergeCell ref="X56:AD57"/>
    <mergeCell ref="Q56:R57"/>
    <mergeCell ref="V56:W57"/>
    <mergeCell ref="AE56:AH57"/>
    <mergeCell ref="AI56:AP57"/>
    <mergeCell ref="AI46:AP47"/>
    <mergeCell ref="AI48:AP49"/>
    <mergeCell ref="AI50:AP51"/>
    <mergeCell ref="F48:I49"/>
    <mergeCell ref="Q48:R49"/>
    <mergeCell ref="V48:W49"/>
    <mergeCell ref="AI44:AP45"/>
    <mergeCell ref="C34:F34"/>
    <mergeCell ref="G34:O34"/>
    <mergeCell ref="P34:S34"/>
    <mergeCell ref="T34:AB34"/>
    <mergeCell ref="AE81:AH82"/>
    <mergeCell ref="V81:W82"/>
    <mergeCell ref="J81:P82"/>
    <mergeCell ref="X81:AD82"/>
    <mergeCell ref="C79:E80"/>
    <mergeCell ref="AE79:AH80"/>
    <mergeCell ref="AI79:AP80"/>
    <mergeCell ref="AI81:AP82"/>
    <mergeCell ref="V79:W80"/>
    <mergeCell ref="Q81:R82"/>
    <mergeCell ref="F79:I80"/>
    <mergeCell ref="AE77:AH78"/>
    <mergeCell ref="Q77:R78"/>
    <mergeCell ref="F77:I78"/>
    <mergeCell ref="J77:P78"/>
    <mergeCell ref="X77:AD78"/>
    <mergeCell ref="AI77:AP78"/>
    <mergeCell ref="J75:P76"/>
    <mergeCell ref="X75:AD76"/>
    <mergeCell ref="AE75:AH76"/>
    <mergeCell ref="F75:I76"/>
    <mergeCell ref="AI75:AP76"/>
    <mergeCell ref="AI54:AP55"/>
    <mergeCell ref="Q75:R76"/>
    <mergeCell ref="V75:W76"/>
    <mergeCell ref="C72:D72"/>
    <mergeCell ref="E72:N72"/>
    <mergeCell ref="Q72:R72"/>
    <mergeCell ref="S72:AB72"/>
    <mergeCell ref="AE72:AF72"/>
    <mergeCell ref="AG72:AP72"/>
    <mergeCell ref="A63:AQ64"/>
    <mergeCell ref="C75:E76"/>
    <mergeCell ref="C74:E74"/>
    <mergeCell ref="F74:I74"/>
    <mergeCell ref="J74:P74"/>
    <mergeCell ref="Q74:W74"/>
    <mergeCell ref="X74:AD74"/>
    <mergeCell ref="AE74:AH74"/>
    <mergeCell ref="AI74:AP74"/>
    <mergeCell ref="C68:D68"/>
    <mergeCell ref="E68:N68"/>
    <mergeCell ref="Q68:R68"/>
    <mergeCell ref="S68:AB68"/>
    <mergeCell ref="AE68:AF68"/>
    <mergeCell ref="AG68:AP68"/>
    <mergeCell ref="AI52:AP53"/>
    <mergeCell ref="AI106:AP107"/>
    <mergeCell ref="C114:E115"/>
    <mergeCell ref="AE114:AH115"/>
    <mergeCell ref="V114:W115"/>
    <mergeCell ref="Q114:R115"/>
    <mergeCell ref="J114:P115"/>
    <mergeCell ref="X114:AD115"/>
    <mergeCell ref="AI114:AP115"/>
    <mergeCell ref="F114:I115"/>
    <mergeCell ref="V54:W55"/>
    <mergeCell ref="Q54:R55"/>
    <mergeCell ref="C106:E107"/>
    <mergeCell ref="AE106:AH107"/>
    <mergeCell ref="V106:W107"/>
    <mergeCell ref="Q106:R107"/>
    <mergeCell ref="AE54:AH55"/>
    <mergeCell ref="J79:P80"/>
    <mergeCell ref="X79:AD80"/>
    <mergeCell ref="Q79:R80"/>
    <mergeCell ref="Q110:R111"/>
    <mergeCell ref="C108:E109"/>
    <mergeCell ref="AE108:AH109"/>
    <mergeCell ref="C54:E55"/>
    <mergeCell ref="AE50:AH51"/>
    <mergeCell ref="Q52:R53"/>
    <mergeCell ref="AE52:AH53"/>
    <mergeCell ref="C46:E47"/>
    <mergeCell ref="F46:I47"/>
    <mergeCell ref="C44:E45"/>
    <mergeCell ref="F44:I45"/>
    <mergeCell ref="J44:P45"/>
    <mergeCell ref="X44:AD45"/>
    <mergeCell ref="AE44:AH45"/>
    <mergeCell ref="V44:W45"/>
    <mergeCell ref="Q44:R45"/>
    <mergeCell ref="AE110:AH111"/>
    <mergeCell ref="A32:AQ33"/>
    <mergeCell ref="C112:E113"/>
    <mergeCell ref="AE112:AH113"/>
    <mergeCell ref="V112:W113"/>
    <mergeCell ref="Q112:R113"/>
    <mergeCell ref="C110:E111"/>
    <mergeCell ref="C50:E51"/>
    <mergeCell ref="F50:I51"/>
    <mergeCell ref="J50:P51"/>
    <mergeCell ref="X50:AD51"/>
    <mergeCell ref="C52:E53"/>
    <mergeCell ref="J52:P53"/>
    <mergeCell ref="X52:AD53"/>
    <mergeCell ref="F52:I53"/>
    <mergeCell ref="AE46:AH47"/>
    <mergeCell ref="C48:E49"/>
    <mergeCell ref="AE48:AH49"/>
    <mergeCell ref="Q46:R47"/>
    <mergeCell ref="V46:W47"/>
    <mergeCell ref="J46:P47"/>
    <mergeCell ref="X46:AD47"/>
    <mergeCell ref="J48:P49"/>
    <mergeCell ref="X48:AD49"/>
    <mergeCell ref="AI15:AP16"/>
    <mergeCell ref="AI17:AP18"/>
    <mergeCell ref="AI19:AP20"/>
    <mergeCell ref="Q23:R24"/>
    <mergeCell ref="V23:W24"/>
    <mergeCell ref="AI13:AP14"/>
    <mergeCell ref="AE17:AH18"/>
    <mergeCell ref="Q17:R18"/>
    <mergeCell ref="V17:W18"/>
    <mergeCell ref="Q19:R20"/>
    <mergeCell ref="V19:W20"/>
    <mergeCell ref="AE19:AH20"/>
    <mergeCell ref="V13:W14"/>
    <mergeCell ref="Q15:R16"/>
    <mergeCell ref="V15:W16"/>
    <mergeCell ref="AE15:AH16"/>
    <mergeCell ref="C118:E119"/>
    <mergeCell ref="C56:E57"/>
    <mergeCell ref="C25:E26"/>
    <mergeCell ref="F19:I20"/>
    <mergeCell ref="J19:P20"/>
    <mergeCell ref="X19:AD20"/>
    <mergeCell ref="C17:E18"/>
    <mergeCell ref="F17:I18"/>
    <mergeCell ref="C15:E16"/>
    <mergeCell ref="F15:I16"/>
    <mergeCell ref="J15:P16"/>
    <mergeCell ref="X15:AD16"/>
    <mergeCell ref="V108:W109"/>
    <mergeCell ref="Q108:R109"/>
    <mergeCell ref="V52:W53"/>
    <mergeCell ref="Q50:R51"/>
    <mergeCell ref="V50:W51"/>
    <mergeCell ref="V110:W111"/>
    <mergeCell ref="J54:P55"/>
    <mergeCell ref="X54:AD55"/>
    <mergeCell ref="F54:I55"/>
    <mergeCell ref="C77:E78"/>
    <mergeCell ref="C81:E82"/>
    <mergeCell ref="F25:I26"/>
    <mergeCell ref="A1:AQ2"/>
    <mergeCell ref="AE21:AH22"/>
    <mergeCell ref="C23:E24"/>
    <mergeCell ref="F23:I24"/>
    <mergeCell ref="J23:P24"/>
    <mergeCell ref="X23:AD24"/>
    <mergeCell ref="C21:E22"/>
    <mergeCell ref="F21:I22"/>
    <mergeCell ref="J21:P22"/>
    <mergeCell ref="X21:AD22"/>
    <mergeCell ref="Q21:R22"/>
    <mergeCell ref="V21:W22"/>
    <mergeCell ref="AE23:AH24"/>
    <mergeCell ref="AI21:AP22"/>
    <mergeCell ref="AI23:AP24"/>
    <mergeCell ref="J17:P18"/>
    <mergeCell ref="X17:AD18"/>
    <mergeCell ref="C19:E20"/>
    <mergeCell ref="J13:P14"/>
    <mergeCell ref="X13:AD14"/>
    <mergeCell ref="AE13:AH14"/>
    <mergeCell ref="C13:E14"/>
    <mergeCell ref="F13:I14"/>
    <mergeCell ref="Q13:R14"/>
  </mergeCells>
  <phoneticPr fontId="53"/>
  <conditionalFormatting sqref="C5:AP7">
    <cfRule type="expression" dxfId="28" priority="4">
      <formula>IFERROR(COUNTIF($AR$13:$AS$23,C5),"")</formula>
    </cfRule>
  </conditionalFormatting>
  <conditionalFormatting sqref="C36:AP38">
    <cfRule type="expression" dxfId="27" priority="3">
      <formula>IFERROR(COUNTIF($AR$44:$AS$54,C36),"")</formula>
    </cfRule>
  </conditionalFormatting>
  <conditionalFormatting sqref="C67:AP69">
    <cfRule type="expression" dxfId="26" priority="2">
      <formula>IFERROR(COUNTIF($AR$75:$AS$85,C67),"")</formula>
    </cfRule>
  </conditionalFormatting>
  <conditionalFormatting sqref="C98:AP100">
    <cfRule type="expression" dxfId="25" priority="1">
      <formula>IFERROR(COUNTIF($AR$106:$AS$116,C98),"")</formula>
    </cfRule>
  </conditionalFormatting>
  <printOptions horizontalCentered="1" verticalCentered="1"/>
  <pageMargins left="0.39305555555555599" right="0.39305555555555599" top="0.39305555555555599" bottom="0.39305555555555599" header="0.31388888888888899" footer="0.31388888888888899"/>
  <pageSetup paperSize="9" scale="87" pageOrder="overThenDown" orientation="landscape" r:id="rId1"/>
  <rowBreaks count="4" manualBreakCount="4">
    <brk id="31" max="85" man="1"/>
    <brk id="62" max="85" man="1"/>
    <brk id="93" max="85" man="1"/>
    <brk id="124" max="85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57E47-A10A-46E3-AB6B-51B4661191EF}">
  <sheetPr codeName="Sheet10"/>
  <dimension ref="A1:AS155"/>
  <sheetViews>
    <sheetView view="pageBreakPreview" topLeftCell="A32" zoomScaleNormal="75" zoomScaleSheetLayoutView="100" workbookViewId="0">
      <selection activeCell="A32" sqref="A32:AQ33"/>
    </sheetView>
  </sheetViews>
  <sheetFormatPr defaultColWidth="9" defaultRowHeight="14.25" x14ac:dyDescent="0.4"/>
  <cols>
    <col min="1" max="43" width="3.125" style="56" customWidth="1"/>
    <col min="44" max="45" width="3.125" style="56" hidden="1" customWidth="1"/>
    <col min="46" max="51" width="3.125" style="56" customWidth="1"/>
    <col min="52" max="16384" width="9" style="56"/>
  </cols>
  <sheetData>
    <row r="1" spans="1:45" ht="14.25" customHeight="1" x14ac:dyDescent="0.4">
      <c r="A1" s="451" t="s">
        <v>545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51"/>
      <c r="Z1" s="451"/>
      <c r="AA1" s="451"/>
      <c r="AB1" s="451"/>
      <c r="AC1" s="451"/>
      <c r="AD1" s="451"/>
      <c r="AE1" s="451"/>
      <c r="AF1" s="451"/>
      <c r="AG1" s="451"/>
      <c r="AH1" s="451"/>
      <c r="AI1" s="451"/>
      <c r="AJ1" s="451"/>
      <c r="AK1" s="451"/>
      <c r="AL1" s="451"/>
      <c r="AM1" s="451"/>
      <c r="AN1" s="451"/>
      <c r="AO1" s="451"/>
      <c r="AP1" s="451"/>
      <c r="AQ1" s="451"/>
    </row>
    <row r="2" spans="1:45" ht="14.25" customHeight="1" x14ac:dyDescent="0.4">
      <c r="A2" s="451"/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1"/>
      <c r="AG2" s="451"/>
      <c r="AH2" s="451"/>
      <c r="AI2" s="451"/>
      <c r="AJ2" s="451"/>
      <c r="AK2" s="451"/>
      <c r="AL2" s="451"/>
      <c r="AM2" s="451"/>
      <c r="AN2" s="451"/>
      <c r="AO2" s="451"/>
      <c r="AP2" s="451"/>
      <c r="AQ2" s="451"/>
    </row>
    <row r="3" spans="1:45" ht="27.75" customHeight="1" x14ac:dyDescent="0.4">
      <c r="C3" s="460" t="s">
        <v>8</v>
      </c>
      <c r="D3" s="460"/>
      <c r="E3" s="460"/>
      <c r="F3" s="460"/>
      <c r="G3" s="482" t="str">
        <f>U12対戦スケジュール!D17</f>
        <v>石井緑地 No.２</v>
      </c>
      <c r="H3" s="483"/>
      <c r="I3" s="483"/>
      <c r="J3" s="483"/>
      <c r="K3" s="483"/>
      <c r="L3" s="483"/>
      <c r="M3" s="483"/>
      <c r="N3" s="483"/>
      <c r="O3" s="483"/>
      <c r="P3" s="460" t="s">
        <v>0</v>
      </c>
      <c r="Q3" s="460"/>
      <c r="R3" s="460"/>
      <c r="S3" s="460"/>
      <c r="T3" s="482" t="str">
        <f>U12対戦スケジュール!D18</f>
        <v>ＦＣみらいＶ</v>
      </c>
      <c r="U3" s="483"/>
      <c r="V3" s="483"/>
      <c r="W3" s="483"/>
      <c r="X3" s="483"/>
      <c r="Y3" s="483"/>
      <c r="Z3" s="483"/>
      <c r="AA3" s="483"/>
      <c r="AB3" s="483"/>
      <c r="AC3" s="460" t="s">
        <v>9</v>
      </c>
      <c r="AD3" s="460"/>
      <c r="AE3" s="460"/>
      <c r="AF3" s="460"/>
      <c r="AG3" s="484">
        <f>U12組合せ!$B28</f>
        <v>43716</v>
      </c>
      <c r="AH3" s="485"/>
      <c r="AI3" s="485"/>
      <c r="AJ3" s="485"/>
      <c r="AK3" s="485"/>
      <c r="AL3" s="485"/>
      <c r="AM3" s="488" t="str">
        <f>"（"&amp;TEXT(AG3,"aaa")&amp;"）"</f>
        <v>（日）</v>
      </c>
      <c r="AN3" s="488"/>
      <c r="AO3" s="489"/>
    </row>
    <row r="4" spans="1:45" ht="15" customHeight="1" x14ac:dyDescent="0.4"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64"/>
      <c r="X4" s="64"/>
      <c r="Y4" s="64"/>
      <c r="Z4" s="64"/>
      <c r="AA4" s="64"/>
      <c r="AB4" s="64"/>
      <c r="AC4" s="64"/>
    </row>
    <row r="5" spans="1:45" ht="18" customHeight="1" x14ac:dyDescent="0.4">
      <c r="C5" s="475" t="s">
        <v>38</v>
      </c>
      <c r="D5" s="475"/>
      <c r="E5" s="476" t="str">
        <f>U12組合せ!$H$14</f>
        <v>清原ＳＳＳ</v>
      </c>
      <c r="F5" s="476"/>
      <c r="G5" s="476"/>
      <c r="H5" s="476"/>
      <c r="I5" s="476"/>
      <c r="J5" s="476"/>
      <c r="K5" s="476"/>
      <c r="L5" s="476"/>
      <c r="M5" s="476"/>
      <c r="N5" s="476"/>
      <c r="O5" s="58"/>
      <c r="P5" s="58"/>
      <c r="Q5" s="475" t="s">
        <v>39</v>
      </c>
      <c r="R5" s="475"/>
      <c r="S5" s="476" t="str">
        <f>U12組合せ!$H$15</f>
        <v>ＦＣグランディール</v>
      </c>
      <c r="T5" s="476"/>
      <c r="U5" s="476"/>
      <c r="V5" s="476"/>
      <c r="W5" s="476"/>
      <c r="X5" s="476"/>
      <c r="Y5" s="476"/>
      <c r="Z5" s="476"/>
      <c r="AA5" s="476"/>
      <c r="AB5" s="476"/>
      <c r="AC5" s="68"/>
      <c r="AD5" s="55"/>
      <c r="AE5" s="475" t="s">
        <v>40</v>
      </c>
      <c r="AF5" s="475"/>
      <c r="AG5" s="476" t="str">
        <f>U12組合せ!$H$16</f>
        <v>ＦＣブロケード</v>
      </c>
      <c r="AH5" s="476"/>
      <c r="AI5" s="476"/>
      <c r="AJ5" s="476"/>
      <c r="AK5" s="476"/>
      <c r="AL5" s="476"/>
      <c r="AM5" s="476"/>
      <c r="AN5" s="476"/>
      <c r="AO5" s="476"/>
      <c r="AP5" s="476"/>
      <c r="AQ5" s="57"/>
    </row>
    <row r="6" spans="1:45" ht="18" customHeight="1" x14ac:dyDescent="0.4">
      <c r="C6" s="475" t="s">
        <v>41</v>
      </c>
      <c r="D6" s="475"/>
      <c r="E6" s="476" t="str">
        <f>U12組合せ!$H$17</f>
        <v>緑が丘ＹＦＣ</v>
      </c>
      <c r="F6" s="476"/>
      <c r="G6" s="476"/>
      <c r="H6" s="476"/>
      <c r="I6" s="476"/>
      <c r="J6" s="476"/>
      <c r="K6" s="476"/>
      <c r="L6" s="476"/>
      <c r="M6" s="476"/>
      <c r="N6" s="476"/>
      <c r="O6" s="58"/>
      <c r="P6" s="58"/>
      <c r="Q6" s="475" t="s">
        <v>42</v>
      </c>
      <c r="R6" s="475"/>
      <c r="S6" s="476" t="str">
        <f>U12組合せ!$H$18</f>
        <v>ともぞうＳＣ U12</v>
      </c>
      <c r="T6" s="476"/>
      <c r="U6" s="476"/>
      <c r="V6" s="476"/>
      <c r="W6" s="476"/>
      <c r="X6" s="476"/>
      <c r="Y6" s="476"/>
      <c r="Z6" s="476"/>
      <c r="AA6" s="476"/>
      <c r="AB6" s="476"/>
      <c r="AC6" s="68"/>
      <c r="AD6" s="55"/>
      <c r="AE6" s="475" t="s">
        <v>43</v>
      </c>
      <c r="AF6" s="475"/>
      <c r="AG6" s="476" t="str">
        <f>U12組合せ!$H$19</f>
        <v>ＦＣアネーロ･U-12</v>
      </c>
      <c r="AH6" s="476"/>
      <c r="AI6" s="476"/>
      <c r="AJ6" s="476"/>
      <c r="AK6" s="476"/>
      <c r="AL6" s="476"/>
      <c r="AM6" s="476"/>
      <c r="AN6" s="476"/>
      <c r="AO6" s="476"/>
      <c r="AP6" s="476"/>
      <c r="AQ6" s="57"/>
    </row>
    <row r="7" spans="1:45" ht="18" customHeight="1" thickBot="1" x14ac:dyDescent="0.45">
      <c r="C7" s="577" t="s">
        <v>44</v>
      </c>
      <c r="D7" s="577"/>
      <c r="E7" s="578" t="str">
        <f>U12組合せ!$H$20</f>
        <v>細谷サッカークラブ</v>
      </c>
      <c r="F7" s="578"/>
      <c r="G7" s="578"/>
      <c r="H7" s="578"/>
      <c r="I7" s="578"/>
      <c r="J7" s="578"/>
      <c r="K7" s="578"/>
      <c r="L7" s="578"/>
      <c r="M7" s="578"/>
      <c r="N7" s="578"/>
      <c r="O7" s="58"/>
      <c r="P7" s="58"/>
      <c r="Q7" s="577" t="s">
        <v>45</v>
      </c>
      <c r="R7" s="577"/>
      <c r="S7" s="578" t="str">
        <f>U12組合せ!$H$21</f>
        <v>ＦＣ Ｒｉｓｏ</v>
      </c>
      <c r="T7" s="578"/>
      <c r="U7" s="578"/>
      <c r="V7" s="578"/>
      <c r="W7" s="578"/>
      <c r="X7" s="578"/>
      <c r="Y7" s="578"/>
      <c r="Z7" s="578"/>
      <c r="AA7" s="578"/>
      <c r="AB7" s="578"/>
      <c r="AC7" s="68"/>
      <c r="AD7" s="55"/>
      <c r="AE7" s="577" t="s">
        <v>46</v>
      </c>
      <c r="AF7" s="577"/>
      <c r="AG7" s="578" t="str">
        <f>U12組合せ!$H$22</f>
        <v>上三川ＦＣ</v>
      </c>
      <c r="AH7" s="578"/>
      <c r="AI7" s="578"/>
      <c r="AJ7" s="578"/>
      <c r="AK7" s="578"/>
      <c r="AL7" s="578"/>
      <c r="AM7" s="578"/>
      <c r="AN7" s="578"/>
      <c r="AO7" s="578"/>
      <c r="AP7" s="578"/>
    </row>
    <row r="8" spans="1:45" ht="18" customHeight="1" x14ac:dyDescent="0.4">
      <c r="C8" s="579" t="s">
        <v>47</v>
      </c>
      <c r="D8" s="579"/>
      <c r="E8" s="580" t="str">
        <f>U12組合せ!$J$14</f>
        <v>本郷北ＦＣ</v>
      </c>
      <c r="F8" s="580"/>
      <c r="G8" s="580"/>
      <c r="H8" s="580"/>
      <c r="I8" s="580"/>
      <c r="J8" s="580"/>
      <c r="K8" s="580"/>
      <c r="L8" s="580"/>
      <c r="M8" s="580"/>
      <c r="N8" s="580"/>
      <c r="O8" s="58"/>
      <c r="P8" s="58"/>
      <c r="Q8" s="579" t="s">
        <v>48</v>
      </c>
      <c r="R8" s="579"/>
      <c r="S8" s="580" t="str">
        <f>U12組合せ!$J$15</f>
        <v>みはらＳＣjr</v>
      </c>
      <c r="T8" s="580"/>
      <c r="U8" s="580"/>
      <c r="V8" s="580"/>
      <c r="W8" s="580"/>
      <c r="X8" s="580"/>
      <c r="Y8" s="580"/>
      <c r="Z8" s="580"/>
      <c r="AA8" s="580"/>
      <c r="AB8" s="580"/>
      <c r="AC8" s="68"/>
      <c r="AD8" s="55"/>
      <c r="AE8" s="579" t="s">
        <v>49</v>
      </c>
      <c r="AF8" s="579"/>
      <c r="AG8" s="580" t="str">
        <f>U12組合せ!$J$16</f>
        <v>Ｓ４スペランツァ</v>
      </c>
      <c r="AH8" s="580"/>
      <c r="AI8" s="580"/>
      <c r="AJ8" s="580"/>
      <c r="AK8" s="580"/>
      <c r="AL8" s="580"/>
      <c r="AM8" s="580"/>
      <c r="AN8" s="580"/>
      <c r="AO8" s="580"/>
      <c r="AP8" s="580"/>
    </row>
    <row r="9" spans="1:45" ht="18" customHeight="1" x14ac:dyDescent="0.4">
      <c r="C9" s="475" t="s">
        <v>50</v>
      </c>
      <c r="D9" s="475"/>
      <c r="E9" s="476" t="str">
        <f>U12組合せ!$J$17</f>
        <v>カテット白沢ＳＳ</v>
      </c>
      <c r="F9" s="476"/>
      <c r="G9" s="476"/>
      <c r="H9" s="476"/>
      <c r="I9" s="476"/>
      <c r="J9" s="476"/>
      <c r="K9" s="476"/>
      <c r="L9" s="476"/>
      <c r="M9" s="476"/>
      <c r="N9" s="476"/>
      <c r="O9" s="58"/>
      <c r="P9" s="58"/>
      <c r="Q9" s="475" t="s">
        <v>51</v>
      </c>
      <c r="R9" s="475"/>
      <c r="S9" s="476" t="str">
        <f>U12組合せ!$J$18</f>
        <v>雀宮ＦＣ</v>
      </c>
      <c r="T9" s="476"/>
      <c r="U9" s="476"/>
      <c r="V9" s="476"/>
      <c r="W9" s="476"/>
      <c r="X9" s="476"/>
      <c r="Y9" s="476"/>
      <c r="Z9" s="476"/>
      <c r="AA9" s="476"/>
      <c r="AB9" s="476"/>
      <c r="AC9" s="68"/>
      <c r="AD9" s="55"/>
      <c r="AE9" s="475" t="s">
        <v>52</v>
      </c>
      <c r="AF9" s="475"/>
      <c r="AG9" s="476" t="str">
        <f>U12組合せ!$J$19</f>
        <v>富士見ＳＳＳ</v>
      </c>
      <c r="AH9" s="476"/>
      <c r="AI9" s="476"/>
      <c r="AJ9" s="476"/>
      <c r="AK9" s="476"/>
      <c r="AL9" s="476"/>
      <c r="AM9" s="476"/>
      <c r="AN9" s="476"/>
      <c r="AO9" s="476"/>
      <c r="AP9" s="476"/>
    </row>
    <row r="10" spans="1:45" ht="18" customHeight="1" x14ac:dyDescent="0.4">
      <c r="C10" s="475" t="s">
        <v>53</v>
      </c>
      <c r="D10" s="475"/>
      <c r="E10" s="476" t="str">
        <f>U12組合せ!$J$20</f>
        <v>ＦＣみらいＶ</v>
      </c>
      <c r="F10" s="476"/>
      <c r="G10" s="476"/>
      <c r="H10" s="476"/>
      <c r="I10" s="476"/>
      <c r="J10" s="476"/>
      <c r="K10" s="476"/>
      <c r="L10" s="476"/>
      <c r="M10" s="476"/>
      <c r="N10" s="476"/>
      <c r="O10" s="58"/>
      <c r="P10" s="58"/>
      <c r="Q10" s="475" t="s">
        <v>54</v>
      </c>
      <c r="R10" s="475"/>
      <c r="S10" s="476" t="str">
        <f>U12組合せ!$J$21</f>
        <v>上河内ＪＳＣ</v>
      </c>
      <c r="T10" s="476"/>
      <c r="U10" s="476"/>
      <c r="V10" s="476"/>
      <c r="W10" s="476"/>
      <c r="X10" s="476"/>
      <c r="Y10" s="476"/>
      <c r="Z10" s="476"/>
      <c r="AA10" s="476"/>
      <c r="AB10" s="476"/>
      <c r="AC10" s="68"/>
      <c r="AD10" s="55"/>
      <c r="AE10" s="475" t="s">
        <v>55</v>
      </c>
      <c r="AF10" s="475"/>
      <c r="AG10" s="476" t="str">
        <f>U12組合せ!$J$22</f>
        <v>ジュベニール</v>
      </c>
      <c r="AH10" s="476"/>
      <c r="AI10" s="476"/>
      <c r="AJ10" s="476"/>
      <c r="AK10" s="476"/>
      <c r="AL10" s="476"/>
      <c r="AM10" s="476"/>
      <c r="AN10" s="476"/>
      <c r="AO10" s="476"/>
      <c r="AP10" s="476"/>
    </row>
    <row r="11" spans="1:45" ht="21" customHeight="1" x14ac:dyDescent="0.4">
      <c r="B11" s="56" t="s">
        <v>568</v>
      </c>
    </row>
    <row r="12" spans="1:45" ht="20.25" customHeight="1" x14ac:dyDescent="0.4">
      <c r="B12" s="219"/>
      <c r="C12" s="456" t="s">
        <v>25</v>
      </c>
      <c r="D12" s="456"/>
      <c r="E12" s="456"/>
      <c r="F12" s="458" t="s">
        <v>26</v>
      </c>
      <c r="G12" s="459"/>
      <c r="H12" s="459"/>
      <c r="I12" s="459"/>
      <c r="J12" s="456" t="s">
        <v>27</v>
      </c>
      <c r="K12" s="457"/>
      <c r="L12" s="457"/>
      <c r="M12" s="457"/>
      <c r="N12" s="457"/>
      <c r="O12" s="457"/>
      <c r="P12" s="457"/>
      <c r="Q12" s="456" t="s">
        <v>570</v>
      </c>
      <c r="R12" s="456"/>
      <c r="S12" s="456"/>
      <c r="T12" s="456"/>
      <c r="U12" s="456"/>
      <c r="V12" s="456"/>
      <c r="W12" s="456"/>
      <c r="X12" s="456" t="s">
        <v>27</v>
      </c>
      <c r="Y12" s="457"/>
      <c r="Z12" s="457"/>
      <c r="AA12" s="457"/>
      <c r="AB12" s="457"/>
      <c r="AC12" s="457"/>
      <c r="AD12" s="457"/>
      <c r="AE12" s="458" t="s">
        <v>26</v>
      </c>
      <c r="AF12" s="459"/>
      <c r="AG12" s="459"/>
      <c r="AH12" s="459"/>
      <c r="AI12" s="456" t="s">
        <v>29</v>
      </c>
      <c r="AJ12" s="456"/>
      <c r="AK12" s="457"/>
      <c r="AL12" s="457"/>
      <c r="AM12" s="457"/>
      <c r="AN12" s="457"/>
      <c r="AO12" s="457"/>
      <c r="AP12" s="457"/>
    </row>
    <row r="13" spans="1:45" ht="20.100000000000001" customHeight="1" x14ac:dyDescent="0.4">
      <c r="B13" s="472">
        <v>1</v>
      </c>
      <c r="C13" s="452">
        <v>0.35416666666666669</v>
      </c>
      <c r="D13" s="452"/>
      <c r="E13" s="452"/>
      <c r="F13" s="443"/>
      <c r="G13" s="444"/>
      <c r="H13" s="444"/>
      <c r="I13" s="444"/>
      <c r="J13" s="445" t="str">
        <f>IFERROR(VLOOKUP(AR13,$C$5:$N$10,3,0),"")&amp;IFERROR(VLOOKUP(AR13,$Q$5:$AB$10,3,0),"")&amp;IFERROR(VLOOKUP(AR13,$AE$5:$AP$10,3,0),"")</f>
        <v>細谷サッカークラブ</v>
      </c>
      <c r="K13" s="446"/>
      <c r="L13" s="446"/>
      <c r="M13" s="446"/>
      <c r="N13" s="446"/>
      <c r="O13" s="446"/>
      <c r="P13" s="446"/>
      <c r="Q13" s="450">
        <f t="shared" ref="Q13:Q17" si="0">IF(OR(S13="",S14=""),"",S13+S14)</f>
        <v>1</v>
      </c>
      <c r="R13" s="450"/>
      <c r="S13" s="220">
        <v>0</v>
      </c>
      <c r="T13" s="221" t="s">
        <v>30</v>
      </c>
      <c r="U13" s="220">
        <v>0</v>
      </c>
      <c r="V13" s="450">
        <f t="shared" ref="V13:V17" si="1">IF(OR(U13="",U14=""),"",U13+U14)</f>
        <v>0</v>
      </c>
      <c r="W13" s="450"/>
      <c r="X13" s="447" t="str">
        <f>IFERROR(VLOOKUP(AS13,$C$5:$N$10,3,0),"")&amp;IFERROR(VLOOKUP(AS13,$Q$5:$AB$10,3,0),"")&amp;IFERROR(VLOOKUP(AS13,$AE$5:$AP$10,3,0),"")</f>
        <v>ＦＣ Ｒｉｓｏ</v>
      </c>
      <c r="Y13" s="448"/>
      <c r="Z13" s="448"/>
      <c r="AA13" s="448"/>
      <c r="AB13" s="448"/>
      <c r="AC13" s="448"/>
      <c r="AD13" s="448"/>
      <c r="AE13" s="443"/>
      <c r="AF13" s="444"/>
      <c r="AG13" s="444"/>
      <c r="AH13" s="444"/>
      <c r="AI13" s="450" t="str">
        <f ca="1">DBCS(INDIRECT("U12対戦スケジュール!e"&amp;((ROW()-1)/2+13)))</f>
        <v>Ｄ７／Ｄ８／Ｄ８／Ｄ７</v>
      </c>
      <c r="AJ13" s="444"/>
      <c r="AK13" s="444"/>
      <c r="AL13" s="444"/>
      <c r="AM13" s="444"/>
      <c r="AN13" s="444"/>
      <c r="AO13" s="444"/>
      <c r="AP13" s="444"/>
      <c r="AR13" s="56" t="s">
        <v>291</v>
      </c>
      <c r="AS13" s="56" t="s">
        <v>578</v>
      </c>
    </row>
    <row r="14" spans="1:45" ht="20.100000000000001" customHeight="1" x14ac:dyDescent="0.4">
      <c r="B14" s="472"/>
      <c r="C14" s="452"/>
      <c r="D14" s="452"/>
      <c r="E14" s="452"/>
      <c r="F14" s="444"/>
      <c r="G14" s="444"/>
      <c r="H14" s="444"/>
      <c r="I14" s="444"/>
      <c r="J14" s="446"/>
      <c r="K14" s="446"/>
      <c r="L14" s="446"/>
      <c r="M14" s="446"/>
      <c r="N14" s="446"/>
      <c r="O14" s="446"/>
      <c r="P14" s="446"/>
      <c r="Q14" s="450"/>
      <c r="R14" s="450"/>
      <c r="S14" s="220">
        <v>1</v>
      </c>
      <c r="T14" s="221" t="s">
        <v>30</v>
      </c>
      <c r="U14" s="220">
        <v>0</v>
      </c>
      <c r="V14" s="450"/>
      <c r="W14" s="450"/>
      <c r="X14" s="448"/>
      <c r="Y14" s="448"/>
      <c r="Z14" s="448"/>
      <c r="AA14" s="448"/>
      <c r="AB14" s="448"/>
      <c r="AC14" s="448"/>
      <c r="AD14" s="448"/>
      <c r="AE14" s="444"/>
      <c r="AF14" s="444"/>
      <c r="AG14" s="444"/>
      <c r="AH14" s="444"/>
      <c r="AI14" s="444"/>
      <c r="AJ14" s="444"/>
      <c r="AK14" s="444"/>
      <c r="AL14" s="444"/>
      <c r="AM14" s="444"/>
      <c r="AN14" s="444"/>
      <c r="AO14" s="444"/>
      <c r="AP14" s="444"/>
    </row>
    <row r="15" spans="1:45" ht="20.100000000000001" customHeight="1" x14ac:dyDescent="0.4">
      <c r="B15" s="472">
        <v>2</v>
      </c>
      <c r="C15" s="452">
        <v>0.3888888888888889</v>
      </c>
      <c r="D15" s="452">
        <v>0.4375</v>
      </c>
      <c r="E15" s="452"/>
      <c r="F15" s="443"/>
      <c r="G15" s="444"/>
      <c r="H15" s="444"/>
      <c r="I15" s="444"/>
      <c r="J15" s="445" t="str">
        <f t="shared" ref="J15" si="2">IFERROR(VLOOKUP(AR15,$C$5:$N$10,3,0),"")&amp;IFERROR(VLOOKUP(AR15,$Q$5:$AB$10,3,0),"")&amp;IFERROR(VLOOKUP(AR15,$AE$5:$AP$10,3,0),"")</f>
        <v>ＦＣみらいＶ</v>
      </c>
      <c r="K15" s="446"/>
      <c r="L15" s="446"/>
      <c r="M15" s="446"/>
      <c r="N15" s="446"/>
      <c r="O15" s="446"/>
      <c r="P15" s="446"/>
      <c r="Q15" s="450">
        <f t="shared" si="0"/>
        <v>1</v>
      </c>
      <c r="R15" s="450"/>
      <c r="S15" s="220">
        <v>0</v>
      </c>
      <c r="T15" s="221" t="s">
        <v>30</v>
      </c>
      <c r="U15" s="220">
        <v>0</v>
      </c>
      <c r="V15" s="450">
        <f t="shared" si="1"/>
        <v>0</v>
      </c>
      <c r="W15" s="450"/>
      <c r="X15" s="447" t="str">
        <f t="shared" ref="X15" si="3">IFERROR(VLOOKUP(AS15,$C$5:$N$10,3,0),"")&amp;IFERROR(VLOOKUP(AS15,$Q$5:$AB$10,3,0),"")&amp;IFERROR(VLOOKUP(AS15,$AE$5:$AP$10,3,0),"")</f>
        <v>上河内ＪＳＣ</v>
      </c>
      <c r="Y15" s="448"/>
      <c r="Z15" s="448"/>
      <c r="AA15" s="448"/>
      <c r="AB15" s="448"/>
      <c r="AC15" s="448"/>
      <c r="AD15" s="448"/>
      <c r="AE15" s="443"/>
      <c r="AF15" s="444"/>
      <c r="AG15" s="444"/>
      <c r="AH15" s="444"/>
      <c r="AI15" s="450" t="str">
        <f ca="1">DBCS(INDIRECT("U12対戦スケジュール!e"&amp;((ROW()-1)/2+13)))</f>
        <v>Ｃ７／Ｃ８／Ｃ８／Ｃ７</v>
      </c>
      <c r="AJ15" s="444"/>
      <c r="AK15" s="444"/>
      <c r="AL15" s="444"/>
      <c r="AM15" s="444"/>
      <c r="AN15" s="444"/>
      <c r="AO15" s="444"/>
      <c r="AP15" s="444"/>
      <c r="AR15" s="56" t="s">
        <v>579</v>
      </c>
      <c r="AS15" s="56" t="s">
        <v>580</v>
      </c>
    </row>
    <row r="16" spans="1:45" ht="20.100000000000001" customHeight="1" x14ac:dyDescent="0.4">
      <c r="B16" s="472"/>
      <c r="C16" s="452"/>
      <c r="D16" s="452"/>
      <c r="E16" s="452"/>
      <c r="F16" s="444"/>
      <c r="G16" s="444"/>
      <c r="H16" s="444"/>
      <c r="I16" s="444"/>
      <c r="J16" s="446"/>
      <c r="K16" s="446"/>
      <c r="L16" s="446"/>
      <c r="M16" s="446"/>
      <c r="N16" s="446"/>
      <c r="O16" s="446"/>
      <c r="P16" s="446"/>
      <c r="Q16" s="450"/>
      <c r="R16" s="450"/>
      <c r="S16" s="220">
        <v>1</v>
      </c>
      <c r="T16" s="221" t="s">
        <v>30</v>
      </c>
      <c r="U16" s="220">
        <v>0</v>
      </c>
      <c r="V16" s="450"/>
      <c r="W16" s="450"/>
      <c r="X16" s="448"/>
      <c r="Y16" s="448"/>
      <c r="Z16" s="448"/>
      <c r="AA16" s="448"/>
      <c r="AB16" s="448"/>
      <c r="AC16" s="448"/>
      <c r="AD16" s="448"/>
      <c r="AE16" s="444"/>
      <c r="AF16" s="444"/>
      <c r="AG16" s="444"/>
      <c r="AH16" s="444"/>
      <c r="AI16" s="444"/>
      <c r="AJ16" s="444"/>
      <c r="AK16" s="444"/>
      <c r="AL16" s="444"/>
      <c r="AM16" s="444"/>
      <c r="AN16" s="444"/>
      <c r="AO16" s="444"/>
      <c r="AP16" s="444"/>
    </row>
    <row r="17" spans="1:45" ht="20.100000000000001" customHeight="1" x14ac:dyDescent="0.4">
      <c r="B17" s="472">
        <v>3</v>
      </c>
      <c r="C17" s="452">
        <v>0.4236111111111111</v>
      </c>
      <c r="D17" s="452"/>
      <c r="E17" s="452"/>
      <c r="F17" s="443"/>
      <c r="G17" s="444"/>
      <c r="H17" s="444"/>
      <c r="I17" s="444"/>
      <c r="J17" s="445" t="str">
        <f t="shared" ref="J17" si="4">IFERROR(VLOOKUP(AR17,$C$5:$N$10,3,0),"")&amp;IFERROR(VLOOKUP(AR17,$Q$5:$AB$10,3,0),"")&amp;IFERROR(VLOOKUP(AR17,$AE$5:$AP$10,3,0),"")</f>
        <v>上三川ＦＣ</v>
      </c>
      <c r="K17" s="446"/>
      <c r="L17" s="446"/>
      <c r="M17" s="446"/>
      <c r="N17" s="446"/>
      <c r="O17" s="446"/>
      <c r="P17" s="446"/>
      <c r="Q17" s="450">
        <f t="shared" si="0"/>
        <v>1</v>
      </c>
      <c r="R17" s="450"/>
      <c r="S17" s="220">
        <v>0</v>
      </c>
      <c r="T17" s="221" t="s">
        <v>30</v>
      </c>
      <c r="U17" s="220">
        <v>1</v>
      </c>
      <c r="V17" s="450">
        <f t="shared" si="1"/>
        <v>5</v>
      </c>
      <c r="W17" s="450"/>
      <c r="X17" s="447" t="str">
        <f t="shared" ref="X17" si="5">IFERROR(VLOOKUP(AS17,$C$5:$N$10,3,0),"")&amp;IFERROR(VLOOKUP(AS17,$Q$5:$AB$10,3,0),"")&amp;IFERROR(VLOOKUP(AS17,$AE$5:$AP$10,3,0),"")</f>
        <v>細谷サッカークラブ</v>
      </c>
      <c r="Y17" s="448"/>
      <c r="Z17" s="448"/>
      <c r="AA17" s="448"/>
      <c r="AB17" s="448"/>
      <c r="AC17" s="448"/>
      <c r="AD17" s="448"/>
      <c r="AE17" s="443"/>
      <c r="AF17" s="444"/>
      <c r="AG17" s="444"/>
      <c r="AH17" s="444"/>
      <c r="AI17" s="450" t="str">
        <f ca="1">DBCS(INDIRECT("U12対戦スケジュール!e"&amp;((ROW()-1)/2+13)))</f>
        <v>Ｄ９／Ｄ７／Ｄ７／Ｄ９</v>
      </c>
      <c r="AJ17" s="444"/>
      <c r="AK17" s="444"/>
      <c r="AL17" s="444"/>
      <c r="AM17" s="444"/>
      <c r="AN17" s="444"/>
      <c r="AO17" s="444"/>
      <c r="AP17" s="444"/>
      <c r="AR17" s="56" t="s">
        <v>581</v>
      </c>
      <c r="AS17" s="56" t="s">
        <v>291</v>
      </c>
    </row>
    <row r="18" spans="1:45" ht="20.100000000000001" customHeight="1" x14ac:dyDescent="0.4">
      <c r="B18" s="472"/>
      <c r="C18" s="452"/>
      <c r="D18" s="452"/>
      <c r="E18" s="452"/>
      <c r="F18" s="444"/>
      <c r="G18" s="444"/>
      <c r="H18" s="444"/>
      <c r="I18" s="444"/>
      <c r="J18" s="446"/>
      <c r="K18" s="446"/>
      <c r="L18" s="446"/>
      <c r="M18" s="446"/>
      <c r="N18" s="446"/>
      <c r="O18" s="446"/>
      <c r="P18" s="446"/>
      <c r="Q18" s="450"/>
      <c r="R18" s="450"/>
      <c r="S18" s="220">
        <v>1</v>
      </c>
      <c r="T18" s="221" t="s">
        <v>30</v>
      </c>
      <c r="U18" s="220">
        <v>4</v>
      </c>
      <c r="V18" s="450"/>
      <c r="W18" s="450"/>
      <c r="X18" s="448"/>
      <c r="Y18" s="448"/>
      <c r="Z18" s="448"/>
      <c r="AA18" s="448"/>
      <c r="AB18" s="448"/>
      <c r="AC18" s="448"/>
      <c r="AD18" s="448"/>
      <c r="AE18" s="444"/>
      <c r="AF18" s="444"/>
      <c r="AG18" s="444"/>
      <c r="AH18" s="444"/>
      <c r="AI18" s="444"/>
      <c r="AJ18" s="444"/>
      <c r="AK18" s="444"/>
      <c r="AL18" s="444"/>
      <c r="AM18" s="444"/>
      <c r="AN18" s="444"/>
      <c r="AO18" s="444"/>
      <c r="AP18" s="444"/>
    </row>
    <row r="19" spans="1:45" ht="20.100000000000001" customHeight="1" x14ac:dyDescent="0.4">
      <c r="B19" s="472">
        <v>4</v>
      </c>
      <c r="C19" s="452">
        <v>0.45833333333333331</v>
      </c>
      <c r="D19" s="452">
        <v>0.4375</v>
      </c>
      <c r="E19" s="452"/>
      <c r="F19" s="443"/>
      <c r="G19" s="444"/>
      <c r="H19" s="444"/>
      <c r="I19" s="444"/>
      <c r="J19" s="445" t="str">
        <f t="shared" ref="J19" si="6">IFERROR(VLOOKUP(AR19,$C$5:$N$10,3,0),"")&amp;IFERROR(VLOOKUP(AR19,$Q$5:$AB$10,3,0),"")&amp;IFERROR(VLOOKUP(AR19,$AE$5:$AP$10,3,0),"")</f>
        <v>ジュベニール</v>
      </c>
      <c r="K19" s="446"/>
      <c r="L19" s="446"/>
      <c r="M19" s="446"/>
      <c r="N19" s="446"/>
      <c r="O19" s="446"/>
      <c r="P19" s="446"/>
      <c r="Q19" s="450">
        <f t="shared" ref="Q19:Q23" si="7">IF(OR(S19="",S20=""),"",S19+S20)</f>
        <v>0</v>
      </c>
      <c r="R19" s="450"/>
      <c r="S19" s="220">
        <v>0</v>
      </c>
      <c r="T19" s="221" t="s">
        <v>30</v>
      </c>
      <c r="U19" s="220">
        <v>0</v>
      </c>
      <c r="V19" s="450">
        <f t="shared" ref="V19:V23" si="8">IF(OR(U19="",U20=""),"",U19+U20)</f>
        <v>1</v>
      </c>
      <c r="W19" s="450"/>
      <c r="X19" s="447" t="str">
        <f t="shared" ref="X19" si="9">IFERROR(VLOOKUP(AS19,$C$5:$N$10,3,0),"")&amp;IFERROR(VLOOKUP(AS19,$Q$5:$AB$10,3,0),"")&amp;IFERROR(VLOOKUP(AS19,$AE$5:$AP$10,3,0),"")</f>
        <v>ＦＣみらいＶ</v>
      </c>
      <c r="Y19" s="448"/>
      <c r="Z19" s="448"/>
      <c r="AA19" s="448"/>
      <c r="AB19" s="448"/>
      <c r="AC19" s="448"/>
      <c r="AD19" s="448"/>
      <c r="AE19" s="443"/>
      <c r="AF19" s="444"/>
      <c r="AG19" s="444"/>
      <c r="AH19" s="444"/>
      <c r="AI19" s="450" t="str">
        <f ca="1">DBCS(INDIRECT("U12対戦スケジュール!e"&amp;((ROW()-1)/2+13)))</f>
        <v>Ｃ９／Ｃ７／Ｃ７／Ｃ９</v>
      </c>
      <c r="AJ19" s="444"/>
      <c r="AK19" s="444"/>
      <c r="AL19" s="444"/>
      <c r="AM19" s="444"/>
      <c r="AN19" s="444"/>
      <c r="AO19" s="444"/>
      <c r="AP19" s="444"/>
      <c r="AR19" s="56" t="s">
        <v>582</v>
      </c>
      <c r="AS19" s="56" t="s">
        <v>579</v>
      </c>
    </row>
    <row r="20" spans="1:45" ht="20.100000000000001" customHeight="1" x14ac:dyDescent="0.4">
      <c r="B20" s="472"/>
      <c r="C20" s="452"/>
      <c r="D20" s="452"/>
      <c r="E20" s="452"/>
      <c r="F20" s="444"/>
      <c r="G20" s="444"/>
      <c r="H20" s="444"/>
      <c r="I20" s="444"/>
      <c r="J20" s="446"/>
      <c r="K20" s="446"/>
      <c r="L20" s="446"/>
      <c r="M20" s="446"/>
      <c r="N20" s="446"/>
      <c r="O20" s="446"/>
      <c r="P20" s="446"/>
      <c r="Q20" s="450"/>
      <c r="R20" s="450"/>
      <c r="S20" s="220">
        <v>0</v>
      </c>
      <c r="T20" s="221" t="s">
        <v>30</v>
      </c>
      <c r="U20" s="220">
        <v>1</v>
      </c>
      <c r="V20" s="450"/>
      <c r="W20" s="450"/>
      <c r="X20" s="448"/>
      <c r="Y20" s="448"/>
      <c r="Z20" s="448"/>
      <c r="AA20" s="448"/>
      <c r="AB20" s="448"/>
      <c r="AC20" s="448"/>
      <c r="AD20" s="448"/>
      <c r="AE20" s="444"/>
      <c r="AF20" s="444"/>
      <c r="AG20" s="444"/>
      <c r="AH20" s="444"/>
      <c r="AI20" s="444"/>
      <c r="AJ20" s="444"/>
      <c r="AK20" s="444"/>
      <c r="AL20" s="444"/>
      <c r="AM20" s="444"/>
      <c r="AN20" s="444"/>
      <c r="AO20" s="444"/>
      <c r="AP20" s="444"/>
    </row>
    <row r="21" spans="1:45" ht="20.100000000000001" customHeight="1" x14ac:dyDescent="0.4">
      <c r="B21" s="472">
        <v>5</v>
      </c>
      <c r="C21" s="452">
        <v>0.49305555555555558</v>
      </c>
      <c r="D21" s="452"/>
      <c r="E21" s="452"/>
      <c r="F21" s="443"/>
      <c r="G21" s="444"/>
      <c r="H21" s="444"/>
      <c r="I21" s="444"/>
      <c r="J21" s="445" t="str">
        <f t="shared" ref="J21" si="10">IFERROR(VLOOKUP(AR21,$C$5:$N$10,3,0),"")&amp;IFERROR(VLOOKUP(AR21,$Q$5:$AB$10,3,0),"")&amp;IFERROR(VLOOKUP(AR21,$AE$5:$AP$10,3,0),"")</f>
        <v>ＦＣ Ｒｉｓｏ</v>
      </c>
      <c r="K21" s="446"/>
      <c r="L21" s="446"/>
      <c r="M21" s="446"/>
      <c r="N21" s="446"/>
      <c r="O21" s="446"/>
      <c r="P21" s="446"/>
      <c r="Q21" s="450">
        <f t="shared" si="7"/>
        <v>5</v>
      </c>
      <c r="R21" s="450"/>
      <c r="S21" s="220">
        <v>1</v>
      </c>
      <c r="T21" s="221" t="s">
        <v>30</v>
      </c>
      <c r="U21" s="220">
        <v>0</v>
      </c>
      <c r="V21" s="450">
        <f t="shared" si="8"/>
        <v>0</v>
      </c>
      <c r="W21" s="450"/>
      <c r="X21" s="447" t="str">
        <f t="shared" ref="X21" si="11">IFERROR(VLOOKUP(AS21,$C$5:$N$10,3,0),"")&amp;IFERROR(VLOOKUP(AS21,$Q$5:$AB$10,3,0),"")&amp;IFERROR(VLOOKUP(AS21,$AE$5:$AP$10,3,0),"")</f>
        <v>上三川ＦＣ</v>
      </c>
      <c r="Y21" s="448"/>
      <c r="Z21" s="448"/>
      <c r="AA21" s="448"/>
      <c r="AB21" s="448"/>
      <c r="AC21" s="448"/>
      <c r="AD21" s="448"/>
      <c r="AE21" s="443"/>
      <c r="AF21" s="444"/>
      <c r="AG21" s="444"/>
      <c r="AH21" s="444"/>
      <c r="AI21" s="450" t="str">
        <f ca="1">DBCS(INDIRECT("U12対戦スケジュール!e"&amp;((ROW()-1)/2+13)))</f>
        <v>Ｄ８／Ｄ９／Ｄ９／Ｄ８</v>
      </c>
      <c r="AJ21" s="444"/>
      <c r="AK21" s="444"/>
      <c r="AL21" s="444"/>
      <c r="AM21" s="444"/>
      <c r="AN21" s="444"/>
      <c r="AO21" s="444"/>
      <c r="AP21" s="444"/>
      <c r="AR21" s="56" t="s">
        <v>578</v>
      </c>
      <c r="AS21" s="56" t="s">
        <v>581</v>
      </c>
    </row>
    <row r="22" spans="1:45" ht="20.100000000000001" customHeight="1" x14ac:dyDescent="0.4">
      <c r="B22" s="472"/>
      <c r="C22" s="452"/>
      <c r="D22" s="452"/>
      <c r="E22" s="452"/>
      <c r="F22" s="444"/>
      <c r="G22" s="444"/>
      <c r="H22" s="444"/>
      <c r="I22" s="444"/>
      <c r="J22" s="446"/>
      <c r="K22" s="446"/>
      <c r="L22" s="446"/>
      <c r="M22" s="446"/>
      <c r="N22" s="446"/>
      <c r="O22" s="446"/>
      <c r="P22" s="446"/>
      <c r="Q22" s="450"/>
      <c r="R22" s="450"/>
      <c r="S22" s="220">
        <v>4</v>
      </c>
      <c r="T22" s="221" t="s">
        <v>30</v>
      </c>
      <c r="U22" s="220">
        <v>0</v>
      </c>
      <c r="V22" s="450"/>
      <c r="W22" s="450"/>
      <c r="X22" s="448"/>
      <c r="Y22" s="448"/>
      <c r="Z22" s="448"/>
      <c r="AA22" s="448"/>
      <c r="AB22" s="448"/>
      <c r="AC22" s="448"/>
      <c r="AD22" s="448"/>
      <c r="AE22" s="444"/>
      <c r="AF22" s="444"/>
      <c r="AG22" s="444"/>
      <c r="AH22" s="444"/>
      <c r="AI22" s="444"/>
      <c r="AJ22" s="444"/>
      <c r="AK22" s="444"/>
      <c r="AL22" s="444"/>
      <c r="AM22" s="444"/>
      <c r="AN22" s="444"/>
      <c r="AO22" s="444"/>
      <c r="AP22" s="444"/>
    </row>
    <row r="23" spans="1:45" ht="20.100000000000001" customHeight="1" x14ac:dyDescent="0.4">
      <c r="B23" s="472">
        <v>6</v>
      </c>
      <c r="C23" s="452">
        <v>0.52777777777777779</v>
      </c>
      <c r="D23" s="452">
        <v>0.4375</v>
      </c>
      <c r="E23" s="452"/>
      <c r="F23" s="443"/>
      <c r="G23" s="444"/>
      <c r="H23" s="444"/>
      <c r="I23" s="444"/>
      <c r="J23" s="445" t="str">
        <f t="shared" ref="J23" si="12">IFERROR(VLOOKUP(AR23,$C$5:$N$10,3,0),"")&amp;IFERROR(VLOOKUP(AR23,$Q$5:$AB$10,3,0),"")&amp;IFERROR(VLOOKUP(AR23,$AE$5:$AP$10,3,0),"")</f>
        <v>上河内ＪＳＣ</v>
      </c>
      <c r="K23" s="446"/>
      <c r="L23" s="446"/>
      <c r="M23" s="446"/>
      <c r="N23" s="446"/>
      <c r="O23" s="446"/>
      <c r="P23" s="446"/>
      <c r="Q23" s="450">
        <f t="shared" si="7"/>
        <v>2</v>
      </c>
      <c r="R23" s="450"/>
      <c r="S23" s="220">
        <v>2</v>
      </c>
      <c r="T23" s="221" t="s">
        <v>30</v>
      </c>
      <c r="U23" s="220">
        <v>0</v>
      </c>
      <c r="V23" s="450">
        <f t="shared" si="8"/>
        <v>0</v>
      </c>
      <c r="W23" s="450"/>
      <c r="X23" s="447" t="str">
        <f t="shared" ref="X23" si="13">IFERROR(VLOOKUP(AS23,$C$5:$N$10,3,0),"")&amp;IFERROR(VLOOKUP(AS23,$Q$5:$AB$10,3,0),"")&amp;IFERROR(VLOOKUP(AS23,$AE$5:$AP$10,3,0),"")</f>
        <v>ジュベニール</v>
      </c>
      <c r="Y23" s="448"/>
      <c r="Z23" s="448"/>
      <c r="AA23" s="448"/>
      <c r="AB23" s="448"/>
      <c r="AC23" s="448"/>
      <c r="AD23" s="448"/>
      <c r="AE23" s="443"/>
      <c r="AF23" s="444"/>
      <c r="AG23" s="444"/>
      <c r="AH23" s="444"/>
      <c r="AI23" s="450" t="str">
        <f ca="1">DBCS(INDIRECT("U12対戦スケジュール!e"&amp;((ROW()-1)/2+13)))</f>
        <v>Ｃ８／Ｃ９／Ｃ９／Ｃ８</v>
      </c>
      <c r="AJ23" s="444"/>
      <c r="AK23" s="444"/>
      <c r="AL23" s="444"/>
      <c r="AM23" s="444"/>
      <c r="AN23" s="444"/>
      <c r="AO23" s="444"/>
      <c r="AP23" s="444"/>
      <c r="AR23" s="56" t="s">
        <v>580</v>
      </c>
      <c r="AS23" s="56" t="s">
        <v>582</v>
      </c>
    </row>
    <row r="24" spans="1:45" ht="20.100000000000001" customHeight="1" x14ac:dyDescent="0.4">
      <c r="B24" s="472"/>
      <c r="C24" s="452"/>
      <c r="D24" s="452"/>
      <c r="E24" s="452"/>
      <c r="F24" s="444"/>
      <c r="G24" s="444"/>
      <c r="H24" s="444"/>
      <c r="I24" s="444"/>
      <c r="J24" s="446"/>
      <c r="K24" s="446"/>
      <c r="L24" s="446"/>
      <c r="M24" s="446"/>
      <c r="N24" s="446"/>
      <c r="O24" s="446"/>
      <c r="P24" s="446"/>
      <c r="Q24" s="450"/>
      <c r="R24" s="450"/>
      <c r="S24" s="220">
        <v>0</v>
      </c>
      <c r="T24" s="221" t="s">
        <v>30</v>
      </c>
      <c r="U24" s="220">
        <v>0</v>
      </c>
      <c r="V24" s="450"/>
      <c r="W24" s="450"/>
      <c r="X24" s="448"/>
      <c r="Y24" s="448"/>
      <c r="Z24" s="448"/>
      <c r="AA24" s="448"/>
      <c r="AB24" s="448"/>
      <c r="AC24" s="448"/>
      <c r="AD24" s="448"/>
      <c r="AE24" s="444"/>
      <c r="AF24" s="444"/>
      <c r="AG24" s="444"/>
      <c r="AH24" s="444"/>
      <c r="AI24" s="444"/>
      <c r="AJ24" s="444"/>
      <c r="AK24" s="444"/>
      <c r="AL24" s="444"/>
      <c r="AM24" s="444"/>
      <c r="AN24" s="444"/>
      <c r="AO24" s="444"/>
      <c r="AP24" s="444"/>
    </row>
    <row r="25" spans="1:45" ht="20.100000000000001" hidden="1" customHeight="1" thickBot="1" x14ac:dyDescent="0.45">
      <c r="B25" s="573">
        <v>7</v>
      </c>
      <c r="C25" s="535">
        <v>0.58333333333333304</v>
      </c>
      <c r="D25" s="541"/>
      <c r="E25" s="542"/>
      <c r="F25" s="547"/>
      <c r="G25" s="548"/>
      <c r="H25" s="548"/>
      <c r="I25" s="549"/>
      <c r="J25" s="553" t="str">
        <f>IFERROR(VLOOKUP(AR25,$C$5:$N$10,3,0),"")&amp;IFERROR(VLOOKUP(AR25,$Q$5:$AB$10,3,0),"")&amp;IFERROR(VLOOKUP(AR25,$AE$5:$AP$10,3,0),"")</f>
        <v/>
      </c>
      <c r="K25" s="554"/>
      <c r="L25" s="554"/>
      <c r="M25" s="554"/>
      <c r="N25" s="554"/>
      <c r="O25" s="554"/>
      <c r="P25" s="555"/>
      <c r="Q25" s="563" t="str">
        <f>IF(OR(S25="",S26=""),"",S25+S26)</f>
        <v/>
      </c>
      <c r="R25" s="564"/>
      <c r="S25" s="231"/>
      <c r="T25" s="232" t="s">
        <v>30</v>
      </c>
      <c r="U25" s="231"/>
      <c r="V25" s="563" t="str">
        <f>IF(OR(U25="",U26=""),"",U25+U26)</f>
        <v/>
      </c>
      <c r="W25" s="564"/>
      <c r="X25" s="559" t="str">
        <f>IFERROR(VLOOKUP(AS25,$C$5:$N$10,3,0),"")&amp;IFERROR(VLOOKUP(AS25,$Q$5:$AB$10,3,0),"")&amp;IFERROR(VLOOKUP(AS25,$AE$5:$AP$10,3,0),"")</f>
        <v/>
      </c>
      <c r="Y25" s="554"/>
      <c r="Z25" s="554"/>
      <c r="AA25" s="554"/>
      <c r="AB25" s="554"/>
      <c r="AC25" s="554"/>
      <c r="AD25" s="560"/>
      <c r="AE25" s="547"/>
      <c r="AF25" s="548"/>
      <c r="AG25" s="548"/>
      <c r="AH25" s="549"/>
      <c r="AI25" s="567" t="str">
        <f ca="1">DBCS(INDIRECT("U12対戦スケジュール!e"&amp;((ROW()-1)/2+13)))</f>
        <v/>
      </c>
      <c r="AJ25" s="568"/>
      <c r="AK25" s="568"/>
      <c r="AL25" s="568"/>
      <c r="AM25" s="568"/>
      <c r="AN25" s="568"/>
      <c r="AO25" s="568"/>
      <c r="AP25" s="569"/>
    </row>
    <row r="26" spans="1:45" ht="20.100000000000001" hidden="1" customHeight="1" thickBot="1" x14ac:dyDescent="0.45">
      <c r="B26" s="574"/>
      <c r="C26" s="543"/>
      <c r="D26" s="544"/>
      <c r="E26" s="545"/>
      <c r="F26" s="550"/>
      <c r="G26" s="551"/>
      <c r="H26" s="551"/>
      <c r="I26" s="552"/>
      <c r="J26" s="556"/>
      <c r="K26" s="557"/>
      <c r="L26" s="557"/>
      <c r="M26" s="557"/>
      <c r="N26" s="557"/>
      <c r="O26" s="557"/>
      <c r="P26" s="558"/>
      <c r="Q26" s="565"/>
      <c r="R26" s="566"/>
      <c r="S26" s="65"/>
      <c r="T26" s="132" t="s">
        <v>30</v>
      </c>
      <c r="U26" s="65"/>
      <c r="V26" s="565"/>
      <c r="W26" s="566"/>
      <c r="X26" s="561"/>
      <c r="Y26" s="557"/>
      <c r="Z26" s="557"/>
      <c r="AA26" s="557"/>
      <c r="AB26" s="557"/>
      <c r="AC26" s="557"/>
      <c r="AD26" s="562"/>
      <c r="AE26" s="550"/>
      <c r="AF26" s="551"/>
      <c r="AG26" s="551"/>
      <c r="AH26" s="552"/>
      <c r="AI26" s="570"/>
      <c r="AJ26" s="571"/>
      <c r="AK26" s="571"/>
      <c r="AL26" s="571"/>
      <c r="AM26" s="571"/>
      <c r="AN26" s="571"/>
      <c r="AO26" s="571"/>
      <c r="AP26" s="572"/>
    </row>
    <row r="27" spans="1:45" s="55" customFormat="1" ht="15.75" customHeight="1" x14ac:dyDescent="0.4">
      <c r="A27" s="58"/>
      <c r="B27" s="59"/>
      <c r="C27" s="60"/>
      <c r="D27" s="60"/>
      <c r="E27" s="60"/>
      <c r="F27" s="59"/>
      <c r="G27" s="59"/>
      <c r="H27" s="59"/>
      <c r="I27" s="59"/>
      <c r="J27" s="59"/>
      <c r="K27" s="61"/>
      <c r="L27" s="61"/>
      <c r="M27" s="62"/>
      <c r="N27" s="63"/>
      <c r="O27" s="62"/>
      <c r="P27" s="61"/>
      <c r="Q27" s="61"/>
      <c r="R27" s="59"/>
      <c r="S27" s="59"/>
      <c r="T27" s="59"/>
      <c r="U27" s="59"/>
      <c r="V27" s="59"/>
      <c r="W27" s="66"/>
      <c r="X27" s="66"/>
      <c r="Y27" s="66"/>
      <c r="Z27" s="66"/>
      <c r="AA27" s="66"/>
      <c r="AB27" s="66"/>
      <c r="AC27" s="58"/>
    </row>
    <row r="28" spans="1:45" ht="20.25" customHeight="1" x14ac:dyDescent="0.4">
      <c r="D28" s="477" t="s">
        <v>31</v>
      </c>
      <c r="E28" s="477"/>
      <c r="F28" s="477"/>
      <c r="G28" s="477"/>
      <c r="H28" s="477"/>
      <c r="I28" s="477"/>
      <c r="J28" s="477" t="s">
        <v>27</v>
      </c>
      <c r="K28" s="477"/>
      <c r="L28" s="477"/>
      <c r="M28" s="477"/>
      <c r="N28" s="477"/>
      <c r="O28" s="477"/>
      <c r="P28" s="477"/>
      <c r="Q28" s="477"/>
      <c r="R28" s="478" t="s">
        <v>32</v>
      </c>
      <c r="S28" s="478"/>
      <c r="T28" s="478"/>
      <c r="U28" s="478"/>
      <c r="V28" s="478"/>
      <c r="W28" s="478"/>
      <c r="X28" s="478"/>
      <c r="Y28" s="478"/>
      <c r="Z28" s="478"/>
      <c r="AA28" s="479" t="s">
        <v>33</v>
      </c>
      <c r="AB28" s="479"/>
      <c r="AC28" s="479"/>
      <c r="AD28" s="479" t="s">
        <v>34</v>
      </c>
      <c r="AE28" s="479"/>
      <c r="AF28" s="479"/>
      <c r="AG28" s="479"/>
      <c r="AH28" s="479"/>
      <c r="AI28" s="479"/>
      <c r="AJ28" s="479"/>
      <c r="AK28" s="479"/>
      <c r="AL28" s="479"/>
      <c r="AM28" s="479"/>
    </row>
    <row r="29" spans="1:45" ht="30" customHeight="1" x14ac:dyDescent="0.4">
      <c r="D29" s="477" t="s">
        <v>35</v>
      </c>
      <c r="E29" s="477"/>
      <c r="F29" s="477"/>
      <c r="G29" s="477"/>
      <c r="H29" s="477"/>
      <c r="I29" s="477"/>
      <c r="J29" s="477"/>
      <c r="K29" s="477"/>
      <c r="L29" s="477"/>
      <c r="M29" s="477"/>
      <c r="N29" s="477"/>
      <c r="O29" s="477"/>
      <c r="P29" s="477"/>
      <c r="Q29" s="477"/>
      <c r="R29" s="478"/>
      <c r="S29" s="478"/>
      <c r="T29" s="478"/>
      <c r="U29" s="478"/>
      <c r="V29" s="478"/>
      <c r="W29" s="478"/>
      <c r="X29" s="478"/>
      <c r="Y29" s="478"/>
      <c r="Z29" s="478"/>
      <c r="AA29" s="481"/>
      <c r="AB29" s="481"/>
      <c r="AC29" s="481"/>
      <c r="AD29" s="480"/>
      <c r="AE29" s="480"/>
      <c r="AF29" s="480"/>
      <c r="AG29" s="480"/>
      <c r="AH29" s="480"/>
      <c r="AI29" s="480"/>
      <c r="AJ29" s="480"/>
      <c r="AK29" s="480"/>
      <c r="AL29" s="480"/>
      <c r="AM29" s="480"/>
    </row>
    <row r="30" spans="1:45" ht="30" customHeight="1" x14ac:dyDescent="0.4">
      <c r="D30" s="477" t="s">
        <v>35</v>
      </c>
      <c r="E30" s="477"/>
      <c r="F30" s="477"/>
      <c r="G30" s="477"/>
      <c r="H30" s="477"/>
      <c r="I30" s="477"/>
      <c r="J30" s="477"/>
      <c r="K30" s="477"/>
      <c r="L30" s="477"/>
      <c r="M30" s="477"/>
      <c r="N30" s="477"/>
      <c r="O30" s="477"/>
      <c r="P30" s="477"/>
      <c r="Q30" s="477"/>
      <c r="R30" s="478"/>
      <c r="S30" s="478"/>
      <c r="T30" s="478"/>
      <c r="U30" s="478"/>
      <c r="V30" s="478"/>
      <c r="W30" s="478"/>
      <c r="X30" s="478"/>
      <c r="Y30" s="478"/>
      <c r="Z30" s="478"/>
      <c r="AA30" s="479"/>
      <c r="AB30" s="479"/>
      <c r="AC30" s="479"/>
      <c r="AD30" s="480"/>
      <c r="AE30" s="480"/>
      <c r="AF30" s="480"/>
      <c r="AG30" s="480"/>
      <c r="AH30" s="480"/>
      <c r="AI30" s="480"/>
      <c r="AJ30" s="480"/>
      <c r="AK30" s="480"/>
      <c r="AL30" s="480"/>
      <c r="AM30" s="480"/>
    </row>
    <row r="31" spans="1:45" ht="30" customHeight="1" x14ac:dyDescent="0.4">
      <c r="D31" s="477" t="s">
        <v>35</v>
      </c>
      <c r="E31" s="477"/>
      <c r="F31" s="477"/>
      <c r="G31" s="477"/>
      <c r="H31" s="477"/>
      <c r="I31" s="477"/>
      <c r="J31" s="477"/>
      <c r="K31" s="477"/>
      <c r="L31" s="477"/>
      <c r="M31" s="477"/>
      <c r="N31" s="477"/>
      <c r="O31" s="477"/>
      <c r="P31" s="477"/>
      <c r="Q31" s="477"/>
      <c r="R31" s="478"/>
      <c r="S31" s="478"/>
      <c r="T31" s="478"/>
      <c r="U31" s="478"/>
      <c r="V31" s="478"/>
      <c r="W31" s="478"/>
      <c r="X31" s="478"/>
      <c r="Y31" s="478"/>
      <c r="Z31" s="478"/>
      <c r="AA31" s="479"/>
      <c r="AB31" s="479"/>
      <c r="AC31" s="479"/>
      <c r="AD31" s="480"/>
      <c r="AE31" s="480"/>
      <c r="AF31" s="480"/>
      <c r="AG31" s="480"/>
      <c r="AH31" s="480"/>
      <c r="AI31" s="480"/>
      <c r="AJ31" s="480"/>
      <c r="AK31" s="480"/>
      <c r="AL31" s="480"/>
      <c r="AM31" s="480"/>
    </row>
    <row r="32" spans="1:45" ht="14.25" customHeight="1" x14ac:dyDescent="0.4">
      <c r="A32" s="451" t="s">
        <v>546</v>
      </c>
      <c r="B32" s="451"/>
      <c r="C32" s="451"/>
      <c r="D32" s="451"/>
      <c r="E32" s="451"/>
      <c r="F32" s="451"/>
      <c r="G32" s="451"/>
      <c r="H32" s="451"/>
      <c r="I32" s="451"/>
      <c r="J32" s="451"/>
      <c r="K32" s="451"/>
      <c r="L32" s="451"/>
      <c r="M32" s="451"/>
      <c r="N32" s="451"/>
      <c r="O32" s="451"/>
      <c r="P32" s="451"/>
      <c r="Q32" s="451"/>
      <c r="R32" s="451"/>
      <c r="S32" s="451"/>
      <c r="T32" s="451"/>
      <c r="U32" s="451"/>
      <c r="V32" s="451"/>
      <c r="W32" s="451"/>
      <c r="X32" s="451"/>
      <c r="Y32" s="451"/>
      <c r="Z32" s="451"/>
      <c r="AA32" s="451"/>
      <c r="AB32" s="451"/>
      <c r="AC32" s="451"/>
      <c r="AD32" s="451"/>
      <c r="AE32" s="451"/>
      <c r="AF32" s="451"/>
      <c r="AG32" s="451"/>
      <c r="AH32" s="451"/>
      <c r="AI32" s="451"/>
      <c r="AJ32" s="451"/>
      <c r="AK32" s="451"/>
      <c r="AL32" s="451"/>
      <c r="AM32" s="451"/>
      <c r="AN32" s="451"/>
      <c r="AO32" s="451"/>
      <c r="AP32" s="451"/>
      <c r="AQ32" s="451"/>
    </row>
    <row r="33" spans="1:45" ht="14.25" customHeight="1" x14ac:dyDescent="0.4">
      <c r="A33" s="451"/>
      <c r="B33" s="451"/>
      <c r="C33" s="451"/>
      <c r="D33" s="451"/>
      <c r="E33" s="451"/>
      <c r="F33" s="451"/>
      <c r="G33" s="451"/>
      <c r="H33" s="451"/>
      <c r="I33" s="451"/>
      <c r="J33" s="451"/>
      <c r="K33" s="451"/>
      <c r="L33" s="451"/>
      <c r="M33" s="451"/>
      <c r="N33" s="451"/>
      <c r="O33" s="451"/>
      <c r="P33" s="451"/>
      <c r="Q33" s="451"/>
      <c r="R33" s="451"/>
      <c r="S33" s="451"/>
      <c r="T33" s="451"/>
      <c r="U33" s="451"/>
      <c r="V33" s="451"/>
      <c r="W33" s="451"/>
      <c r="X33" s="451"/>
      <c r="Y33" s="451"/>
      <c r="Z33" s="451"/>
      <c r="AA33" s="451"/>
      <c r="AB33" s="451"/>
      <c r="AC33" s="451"/>
      <c r="AD33" s="451"/>
      <c r="AE33" s="451"/>
      <c r="AF33" s="451"/>
      <c r="AG33" s="451"/>
      <c r="AH33" s="451"/>
      <c r="AI33" s="451"/>
      <c r="AJ33" s="451"/>
      <c r="AK33" s="451"/>
      <c r="AL33" s="451"/>
      <c r="AM33" s="451"/>
      <c r="AN33" s="451"/>
      <c r="AO33" s="451"/>
      <c r="AP33" s="451"/>
      <c r="AQ33" s="451"/>
    </row>
    <row r="34" spans="1:45" ht="27.75" customHeight="1" x14ac:dyDescent="0.4">
      <c r="C34" s="460" t="s">
        <v>8</v>
      </c>
      <c r="D34" s="460"/>
      <c r="E34" s="460"/>
      <c r="F34" s="460"/>
      <c r="G34" s="482" t="str">
        <f>U12対戦スケジュール!D39</f>
        <v>豊郷南小学校</v>
      </c>
      <c r="H34" s="483"/>
      <c r="I34" s="483"/>
      <c r="J34" s="483"/>
      <c r="K34" s="483"/>
      <c r="L34" s="483"/>
      <c r="M34" s="483"/>
      <c r="N34" s="483"/>
      <c r="O34" s="483"/>
      <c r="P34" s="460" t="s">
        <v>0</v>
      </c>
      <c r="Q34" s="460"/>
      <c r="R34" s="460"/>
      <c r="S34" s="460"/>
      <c r="T34" s="482" t="str">
        <f>U12対戦スケジュール!D40</f>
        <v>ＦＣグランディール</v>
      </c>
      <c r="U34" s="483"/>
      <c r="V34" s="483"/>
      <c r="W34" s="483"/>
      <c r="X34" s="483"/>
      <c r="Y34" s="483"/>
      <c r="Z34" s="483"/>
      <c r="AA34" s="483"/>
      <c r="AB34" s="483"/>
      <c r="AC34" s="460" t="s">
        <v>9</v>
      </c>
      <c r="AD34" s="460"/>
      <c r="AE34" s="460"/>
      <c r="AF34" s="460"/>
      <c r="AG34" s="484">
        <f>U12組合せ!$B32</f>
        <v>43737</v>
      </c>
      <c r="AH34" s="485"/>
      <c r="AI34" s="485"/>
      <c r="AJ34" s="485"/>
      <c r="AK34" s="485"/>
      <c r="AL34" s="485"/>
      <c r="AM34" s="488" t="str">
        <f>"（"&amp;TEXT(AG34,"aaa")&amp;"）"</f>
        <v>（日）</v>
      </c>
      <c r="AN34" s="488"/>
      <c r="AO34" s="489"/>
    </row>
    <row r="35" spans="1:45" ht="15" customHeight="1" x14ac:dyDescent="0.4"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64"/>
      <c r="X35" s="64"/>
      <c r="Y35" s="64"/>
      <c r="Z35" s="64"/>
      <c r="AA35" s="64"/>
      <c r="AB35" s="64"/>
      <c r="AC35" s="64"/>
    </row>
    <row r="36" spans="1:45" ht="18" customHeight="1" x14ac:dyDescent="0.4">
      <c r="C36" s="475" t="s">
        <v>38</v>
      </c>
      <c r="D36" s="475"/>
      <c r="E36" s="476" t="str">
        <f>U12組合せ!$H$14</f>
        <v>清原ＳＳＳ</v>
      </c>
      <c r="F36" s="476"/>
      <c r="G36" s="476"/>
      <c r="H36" s="476"/>
      <c r="I36" s="476"/>
      <c r="J36" s="476"/>
      <c r="K36" s="476"/>
      <c r="L36" s="476"/>
      <c r="M36" s="476"/>
      <c r="N36" s="476"/>
      <c r="O36" s="58"/>
      <c r="P36" s="58"/>
      <c r="Q36" s="475" t="s">
        <v>39</v>
      </c>
      <c r="R36" s="475"/>
      <c r="S36" s="476" t="str">
        <f>U12組合せ!$H$15</f>
        <v>ＦＣグランディール</v>
      </c>
      <c r="T36" s="476"/>
      <c r="U36" s="476"/>
      <c r="V36" s="476"/>
      <c r="W36" s="476"/>
      <c r="X36" s="476"/>
      <c r="Y36" s="476"/>
      <c r="Z36" s="476"/>
      <c r="AA36" s="476"/>
      <c r="AB36" s="476"/>
      <c r="AC36" s="68"/>
      <c r="AD36" s="55"/>
      <c r="AE36" s="475" t="s">
        <v>40</v>
      </c>
      <c r="AF36" s="475"/>
      <c r="AG36" s="476" t="str">
        <f>U12組合せ!$H$16</f>
        <v>ＦＣブロケード</v>
      </c>
      <c r="AH36" s="476"/>
      <c r="AI36" s="476"/>
      <c r="AJ36" s="476"/>
      <c r="AK36" s="476"/>
      <c r="AL36" s="476"/>
      <c r="AM36" s="476"/>
      <c r="AN36" s="476"/>
      <c r="AO36" s="476"/>
      <c r="AP36" s="476"/>
    </row>
    <row r="37" spans="1:45" ht="18" customHeight="1" x14ac:dyDescent="0.4">
      <c r="C37" s="475" t="s">
        <v>41</v>
      </c>
      <c r="D37" s="475"/>
      <c r="E37" s="476" t="str">
        <f>U12組合せ!$H$17</f>
        <v>緑が丘ＹＦＣ</v>
      </c>
      <c r="F37" s="476"/>
      <c r="G37" s="476"/>
      <c r="H37" s="476"/>
      <c r="I37" s="476"/>
      <c r="J37" s="476"/>
      <c r="K37" s="476"/>
      <c r="L37" s="476"/>
      <c r="M37" s="476"/>
      <c r="N37" s="476"/>
      <c r="O37" s="58"/>
      <c r="P37" s="58"/>
      <c r="Q37" s="475" t="s">
        <v>42</v>
      </c>
      <c r="R37" s="475"/>
      <c r="S37" s="476" t="str">
        <f>U12組合せ!$H$18</f>
        <v>ともぞうＳＣ U12</v>
      </c>
      <c r="T37" s="476"/>
      <c r="U37" s="476"/>
      <c r="V37" s="476"/>
      <c r="W37" s="476"/>
      <c r="X37" s="476"/>
      <c r="Y37" s="476"/>
      <c r="Z37" s="476"/>
      <c r="AA37" s="476"/>
      <c r="AB37" s="476"/>
      <c r="AC37" s="68"/>
      <c r="AD37" s="55"/>
      <c r="AE37" s="475" t="s">
        <v>43</v>
      </c>
      <c r="AF37" s="475"/>
      <c r="AG37" s="476" t="str">
        <f>U12組合せ!$H$19</f>
        <v>ＦＣアネーロ･U-12</v>
      </c>
      <c r="AH37" s="476"/>
      <c r="AI37" s="476"/>
      <c r="AJ37" s="476"/>
      <c r="AK37" s="476"/>
      <c r="AL37" s="476"/>
      <c r="AM37" s="476"/>
      <c r="AN37" s="476"/>
      <c r="AO37" s="476"/>
      <c r="AP37" s="476"/>
    </row>
    <row r="38" spans="1:45" ht="18" customHeight="1" thickBot="1" x14ac:dyDescent="0.45">
      <c r="C38" s="577" t="s">
        <v>44</v>
      </c>
      <c r="D38" s="577"/>
      <c r="E38" s="578" t="str">
        <f>U12組合せ!$H$20</f>
        <v>細谷サッカークラブ</v>
      </c>
      <c r="F38" s="578"/>
      <c r="G38" s="578"/>
      <c r="H38" s="578"/>
      <c r="I38" s="578"/>
      <c r="J38" s="578"/>
      <c r="K38" s="578"/>
      <c r="L38" s="578"/>
      <c r="M38" s="578"/>
      <c r="N38" s="578"/>
      <c r="O38" s="58"/>
      <c r="P38" s="58"/>
      <c r="Q38" s="577" t="s">
        <v>45</v>
      </c>
      <c r="R38" s="577"/>
      <c r="S38" s="578" t="str">
        <f>U12組合せ!$H$21</f>
        <v>ＦＣ Ｒｉｓｏ</v>
      </c>
      <c r="T38" s="578"/>
      <c r="U38" s="578"/>
      <c r="V38" s="578"/>
      <c r="W38" s="578"/>
      <c r="X38" s="578"/>
      <c r="Y38" s="578"/>
      <c r="Z38" s="578"/>
      <c r="AA38" s="578"/>
      <c r="AB38" s="578"/>
      <c r="AC38" s="68"/>
      <c r="AD38" s="55"/>
      <c r="AE38" s="577" t="s">
        <v>46</v>
      </c>
      <c r="AF38" s="577"/>
      <c r="AG38" s="578" t="str">
        <f>U12組合せ!$H$22</f>
        <v>上三川ＦＣ</v>
      </c>
      <c r="AH38" s="578"/>
      <c r="AI38" s="578"/>
      <c r="AJ38" s="578"/>
      <c r="AK38" s="578"/>
      <c r="AL38" s="578"/>
      <c r="AM38" s="578"/>
      <c r="AN38" s="578"/>
      <c r="AO38" s="578"/>
      <c r="AP38" s="578"/>
    </row>
    <row r="39" spans="1:45" ht="18" customHeight="1" x14ac:dyDescent="0.4">
      <c r="C39" s="579" t="s">
        <v>47</v>
      </c>
      <c r="D39" s="579"/>
      <c r="E39" s="580" t="str">
        <f>U12組合せ!$J$14</f>
        <v>本郷北ＦＣ</v>
      </c>
      <c r="F39" s="580"/>
      <c r="G39" s="580"/>
      <c r="H39" s="580"/>
      <c r="I39" s="580"/>
      <c r="J39" s="580"/>
      <c r="K39" s="580"/>
      <c r="L39" s="580"/>
      <c r="M39" s="580"/>
      <c r="N39" s="580"/>
      <c r="O39" s="58"/>
      <c r="P39" s="58"/>
      <c r="Q39" s="579" t="s">
        <v>48</v>
      </c>
      <c r="R39" s="579"/>
      <c r="S39" s="580" t="str">
        <f>U12組合せ!$J$15</f>
        <v>みはらＳＣjr</v>
      </c>
      <c r="T39" s="580"/>
      <c r="U39" s="580"/>
      <c r="V39" s="580"/>
      <c r="W39" s="580"/>
      <c r="X39" s="580"/>
      <c r="Y39" s="580"/>
      <c r="Z39" s="580"/>
      <c r="AA39" s="580"/>
      <c r="AB39" s="580"/>
      <c r="AC39" s="68"/>
      <c r="AD39" s="55"/>
      <c r="AE39" s="579" t="s">
        <v>49</v>
      </c>
      <c r="AF39" s="579"/>
      <c r="AG39" s="580" t="str">
        <f>U12組合せ!$J$16</f>
        <v>Ｓ４スペランツァ</v>
      </c>
      <c r="AH39" s="580"/>
      <c r="AI39" s="580"/>
      <c r="AJ39" s="580"/>
      <c r="AK39" s="580"/>
      <c r="AL39" s="580"/>
      <c r="AM39" s="580"/>
      <c r="AN39" s="580"/>
      <c r="AO39" s="580"/>
      <c r="AP39" s="580"/>
    </row>
    <row r="40" spans="1:45" ht="18" customHeight="1" x14ac:dyDescent="0.4">
      <c r="B40" s="57"/>
      <c r="C40" s="475" t="s">
        <v>50</v>
      </c>
      <c r="D40" s="475"/>
      <c r="E40" s="476" t="str">
        <f>U12組合せ!$J$17</f>
        <v>カテット白沢ＳＳ</v>
      </c>
      <c r="F40" s="476"/>
      <c r="G40" s="476"/>
      <c r="H40" s="476"/>
      <c r="I40" s="476"/>
      <c r="J40" s="476"/>
      <c r="K40" s="476"/>
      <c r="L40" s="476"/>
      <c r="M40" s="476"/>
      <c r="N40" s="476"/>
      <c r="O40" s="58"/>
      <c r="P40" s="58"/>
      <c r="Q40" s="475" t="s">
        <v>51</v>
      </c>
      <c r="R40" s="475"/>
      <c r="S40" s="476" t="str">
        <f>U12組合せ!$J$18</f>
        <v>雀宮ＦＣ</v>
      </c>
      <c r="T40" s="476"/>
      <c r="U40" s="476"/>
      <c r="V40" s="476"/>
      <c r="W40" s="476"/>
      <c r="X40" s="476"/>
      <c r="Y40" s="476"/>
      <c r="Z40" s="476"/>
      <c r="AA40" s="476"/>
      <c r="AB40" s="476"/>
      <c r="AC40" s="68"/>
      <c r="AD40" s="55"/>
      <c r="AE40" s="475" t="s">
        <v>52</v>
      </c>
      <c r="AF40" s="475"/>
      <c r="AG40" s="476" t="str">
        <f>U12組合せ!$J$19</f>
        <v>富士見ＳＳＳ</v>
      </c>
      <c r="AH40" s="476"/>
      <c r="AI40" s="476"/>
      <c r="AJ40" s="476"/>
      <c r="AK40" s="476"/>
      <c r="AL40" s="476"/>
      <c r="AM40" s="476"/>
      <c r="AN40" s="476"/>
      <c r="AO40" s="476"/>
      <c r="AP40" s="476"/>
      <c r="AQ40" s="57"/>
    </row>
    <row r="41" spans="1:45" ht="18" customHeight="1" x14ac:dyDescent="0.4">
      <c r="C41" s="475" t="s">
        <v>53</v>
      </c>
      <c r="D41" s="475"/>
      <c r="E41" s="476" t="str">
        <f>U12組合せ!$J$20</f>
        <v>ＦＣみらいＶ</v>
      </c>
      <c r="F41" s="476"/>
      <c r="G41" s="476"/>
      <c r="H41" s="476"/>
      <c r="I41" s="476"/>
      <c r="J41" s="476"/>
      <c r="K41" s="476"/>
      <c r="L41" s="476"/>
      <c r="M41" s="476"/>
      <c r="N41" s="476"/>
      <c r="O41" s="58"/>
      <c r="P41" s="58"/>
      <c r="Q41" s="475" t="s">
        <v>54</v>
      </c>
      <c r="R41" s="475"/>
      <c r="S41" s="476" t="str">
        <f>U12組合せ!$J$21</f>
        <v>上河内ＪＳＣ</v>
      </c>
      <c r="T41" s="476"/>
      <c r="U41" s="476"/>
      <c r="V41" s="476"/>
      <c r="W41" s="476"/>
      <c r="X41" s="476"/>
      <c r="Y41" s="476"/>
      <c r="Z41" s="476"/>
      <c r="AA41" s="476"/>
      <c r="AB41" s="476"/>
      <c r="AC41" s="68"/>
      <c r="AD41" s="55"/>
      <c r="AE41" s="475" t="s">
        <v>55</v>
      </c>
      <c r="AF41" s="475"/>
      <c r="AG41" s="476" t="str">
        <f>U12組合せ!$J$22</f>
        <v>ジュベニール</v>
      </c>
      <c r="AH41" s="476"/>
      <c r="AI41" s="476"/>
      <c r="AJ41" s="476"/>
      <c r="AK41" s="476"/>
      <c r="AL41" s="476"/>
      <c r="AM41" s="476"/>
      <c r="AN41" s="476"/>
      <c r="AO41" s="476"/>
      <c r="AP41" s="476"/>
    </row>
    <row r="42" spans="1:45" ht="21" customHeight="1" x14ac:dyDescent="0.4">
      <c r="B42" s="56" t="s">
        <v>568</v>
      </c>
    </row>
    <row r="43" spans="1:45" ht="20.25" customHeight="1" x14ac:dyDescent="0.4">
      <c r="B43" s="219"/>
      <c r="C43" s="456" t="s">
        <v>25</v>
      </c>
      <c r="D43" s="456"/>
      <c r="E43" s="456"/>
      <c r="F43" s="458" t="s">
        <v>26</v>
      </c>
      <c r="G43" s="459"/>
      <c r="H43" s="459"/>
      <c r="I43" s="459"/>
      <c r="J43" s="456" t="s">
        <v>27</v>
      </c>
      <c r="K43" s="457"/>
      <c r="L43" s="457"/>
      <c r="M43" s="457"/>
      <c r="N43" s="457"/>
      <c r="O43" s="457"/>
      <c r="P43" s="457"/>
      <c r="Q43" s="456" t="s">
        <v>540</v>
      </c>
      <c r="R43" s="456"/>
      <c r="S43" s="456"/>
      <c r="T43" s="456"/>
      <c r="U43" s="456"/>
      <c r="V43" s="456"/>
      <c r="W43" s="456"/>
      <c r="X43" s="456" t="s">
        <v>27</v>
      </c>
      <c r="Y43" s="457"/>
      <c r="Z43" s="457"/>
      <c r="AA43" s="457"/>
      <c r="AB43" s="457"/>
      <c r="AC43" s="457"/>
      <c r="AD43" s="457"/>
      <c r="AE43" s="458" t="s">
        <v>26</v>
      </c>
      <c r="AF43" s="459"/>
      <c r="AG43" s="459"/>
      <c r="AH43" s="459"/>
      <c r="AI43" s="456" t="s">
        <v>29</v>
      </c>
      <c r="AJ43" s="456"/>
      <c r="AK43" s="457"/>
      <c r="AL43" s="457"/>
      <c r="AM43" s="457"/>
      <c r="AN43" s="457"/>
      <c r="AO43" s="457"/>
      <c r="AP43" s="457"/>
    </row>
    <row r="44" spans="1:45" ht="20.100000000000001" customHeight="1" x14ac:dyDescent="0.4">
      <c r="B44" s="472">
        <v>1</v>
      </c>
      <c r="C44" s="452">
        <v>0.35416666666666669</v>
      </c>
      <c r="D44" s="452"/>
      <c r="E44" s="452"/>
      <c r="F44" s="443"/>
      <c r="G44" s="444"/>
      <c r="H44" s="444"/>
      <c r="I44" s="444"/>
      <c r="J44" s="445" t="str">
        <f>IFERROR(VLOOKUP(AR44,$C$36:$N$41,3,0),"")&amp;IFERROR(VLOOKUP(AR44,$Q$36:$AB$41,3,0),"")&amp;IFERROR(VLOOKUP(AR44,$AE$36:$AP$41,3,0),"")</f>
        <v>ＦＣ Ｒｉｓｏ</v>
      </c>
      <c r="K44" s="446"/>
      <c r="L44" s="446"/>
      <c r="M44" s="446"/>
      <c r="N44" s="446"/>
      <c r="O44" s="446"/>
      <c r="P44" s="446"/>
      <c r="Q44" s="450">
        <f t="shared" ref="Q44:Q48" si="14">IF(OR(S44="",S45=""),"",S44+S45)</f>
        <v>0</v>
      </c>
      <c r="R44" s="450"/>
      <c r="S44" s="233">
        <v>0</v>
      </c>
      <c r="T44" s="234" t="s">
        <v>282</v>
      </c>
      <c r="U44" s="233">
        <v>0</v>
      </c>
      <c r="V44" s="450">
        <f t="shared" ref="V44:V48" si="15">IF(OR(U44="",U45=""),"",U44+U45)</f>
        <v>1</v>
      </c>
      <c r="W44" s="450"/>
      <c r="X44" s="447" t="str">
        <f>IFERROR(VLOOKUP(AS44,$C$36:$N$41,3,0),"")&amp;IFERROR(VLOOKUP(AS44,$Q$36:$AB$41,3,0),"")&amp;IFERROR(VLOOKUP(AS44,$AE$36:$AP$41,3,0),"")</f>
        <v>ＦＣグランディール</v>
      </c>
      <c r="Y44" s="448"/>
      <c r="Z44" s="448"/>
      <c r="AA44" s="448"/>
      <c r="AB44" s="448"/>
      <c r="AC44" s="448"/>
      <c r="AD44" s="448"/>
      <c r="AE44" s="443"/>
      <c r="AF44" s="444"/>
      <c r="AG44" s="444"/>
      <c r="AH44" s="444"/>
      <c r="AI44" s="450" t="str">
        <f ca="1">DBCS(INDIRECT("U12対戦スケジュール!e"&amp;(ROW()/2+19)))</f>
        <v>Ｄ８／Ｄ２／Ｄ２／Ｄ８</v>
      </c>
      <c r="AJ44" s="444"/>
      <c r="AK44" s="444"/>
      <c r="AL44" s="444"/>
      <c r="AM44" s="444"/>
      <c r="AN44" s="444"/>
      <c r="AO44" s="444"/>
      <c r="AP44" s="444"/>
      <c r="AR44" s="56" t="s">
        <v>578</v>
      </c>
      <c r="AS44" s="56" t="s">
        <v>583</v>
      </c>
    </row>
    <row r="45" spans="1:45" ht="20.100000000000001" customHeight="1" x14ac:dyDescent="0.4">
      <c r="B45" s="472"/>
      <c r="C45" s="452"/>
      <c r="D45" s="452"/>
      <c r="E45" s="452"/>
      <c r="F45" s="444"/>
      <c r="G45" s="444"/>
      <c r="H45" s="444"/>
      <c r="I45" s="444"/>
      <c r="J45" s="446"/>
      <c r="K45" s="446"/>
      <c r="L45" s="446"/>
      <c r="M45" s="446"/>
      <c r="N45" s="446"/>
      <c r="O45" s="446"/>
      <c r="P45" s="446"/>
      <c r="Q45" s="450"/>
      <c r="R45" s="450"/>
      <c r="S45" s="233">
        <v>0</v>
      </c>
      <c r="T45" s="234" t="s">
        <v>282</v>
      </c>
      <c r="U45" s="233">
        <v>1</v>
      </c>
      <c r="V45" s="450"/>
      <c r="W45" s="450"/>
      <c r="X45" s="448"/>
      <c r="Y45" s="448"/>
      <c r="Z45" s="448"/>
      <c r="AA45" s="448"/>
      <c r="AB45" s="448"/>
      <c r="AC45" s="448"/>
      <c r="AD45" s="448"/>
      <c r="AE45" s="444"/>
      <c r="AF45" s="444"/>
      <c r="AG45" s="444"/>
      <c r="AH45" s="444"/>
      <c r="AI45" s="444"/>
      <c r="AJ45" s="444"/>
      <c r="AK45" s="444"/>
      <c r="AL45" s="444"/>
      <c r="AM45" s="444"/>
      <c r="AN45" s="444"/>
      <c r="AO45" s="444"/>
      <c r="AP45" s="444"/>
    </row>
    <row r="46" spans="1:45" ht="20.100000000000001" customHeight="1" x14ac:dyDescent="0.4">
      <c r="B46" s="472">
        <v>2</v>
      </c>
      <c r="C46" s="452">
        <v>0.3888888888888889</v>
      </c>
      <c r="D46" s="452">
        <v>0.4375</v>
      </c>
      <c r="E46" s="452"/>
      <c r="F46" s="443"/>
      <c r="G46" s="444"/>
      <c r="H46" s="444"/>
      <c r="I46" s="444"/>
      <c r="J46" s="445" t="str">
        <f t="shared" ref="J46" si="16">IFERROR(VLOOKUP(AR46,$C$36:$N$41,3,0),"")&amp;IFERROR(VLOOKUP(AR46,$Q$36:$AB$41,3,0),"")&amp;IFERROR(VLOOKUP(AR46,$AE$36:$AP$41,3,0),"")</f>
        <v>上河内ＪＳＣ</v>
      </c>
      <c r="K46" s="446"/>
      <c r="L46" s="446"/>
      <c r="M46" s="446"/>
      <c r="N46" s="446"/>
      <c r="O46" s="446"/>
      <c r="P46" s="446"/>
      <c r="Q46" s="450">
        <f t="shared" si="14"/>
        <v>1</v>
      </c>
      <c r="R46" s="450"/>
      <c r="S46" s="233">
        <v>0</v>
      </c>
      <c r="T46" s="234" t="s">
        <v>282</v>
      </c>
      <c r="U46" s="233">
        <v>0</v>
      </c>
      <c r="V46" s="450">
        <f t="shared" si="15"/>
        <v>0</v>
      </c>
      <c r="W46" s="450"/>
      <c r="X46" s="447" t="str">
        <f t="shared" ref="X46" si="17">IFERROR(VLOOKUP(AS46,$C$36:$N$41,3,0),"")&amp;IFERROR(VLOOKUP(AS46,$Q$36:$AB$41,3,0),"")&amp;IFERROR(VLOOKUP(AS46,$AE$36:$AP$41,3,0),"")</f>
        <v>みはらＳＣjr</v>
      </c>
      <c r="Y46" s="448"/>
      <c r="Z46" s="448"/>
      <c r="AA46" s="448"/>
      <c r="AB46" s="448"/>
      <c r="AC46" s="448"/>
      <c r="AD46" s="448"/>
      <c r="AE46" s="443"/>
      <c r="AF46" s="444"/>
      <c r="AG46" s="444"/>
      <c r="AH46" s="444"/>
      <c r="AI46" s="450" t="str">
        <f ca="1">DBCS(INDIRECT("U12対戦スケジュール!e"&amp;(ROW()/2+19)))</f>
        <v>Ｃ８／Ｃ２／Ｃ２／Ｃ８</v>
      </c>
      <c r="AJ46" s="444"/>
      <c r="AK46" s="444"/>
      <c r="AL46" s="444"/>
      <c r="AM46" s="444"/>
      <c r="AN46" s="444"/>
      <c r="AO46" s="444"/>
      <c r="AP46" s="444"/>
      <c r="AR46" s="56" t="s">
        <v>580</v>
      </c>
      <c r="AS46" s="56" t="s">
        <v>584</v>
      </c>
    </row>
    <row r="47" spans="1:45" ht="20.100000000000001" customHeight="1" x14ac:dyDescent="0.4">
      <c r="B47" s="472"/>
      <c r="C47" s="452"/>
      <c r="D47" s="452"/>
      <c r="E47" s="452"/>
      <c r="F47" s="444"/>
      <c r="G47" s="444"/>
      <c r="H47" s="444"/>
      <c r="I47" s="444"/>
      <c r="J47" s="446"/>
      <c r="K47" s="446"/>
      <c r="L47" s="446"/>
      <c r="M47" s="446"/>
      <c r="N47" s="446"/>
      <c r="O47" s="446"/>
      <c r="P47" s="446"/>
      <c r="Q47" s="450"/>
      <c r="R47" s="450"/>
      <c r="S47" s="233">
        <v>1</v>
      </c>
      <c r="T47" s="234" t="s">
        <v>282</v>
      </c>
      <c r="U47" s="233">
        <v>0</v>
      </c>
      <c r="V47" s="450"/>
      <c r="W47" s="450"/>
      <c r="X47" s="448"/>
      <c r="Y47" s="448"/>
      <c r="Z47" s="448"/>
      <c r="AA47" s="448"/>
      <c r="AB47" s="448"/>
      <c r="AC47" s="448"/>
      <c r="AD47" s="448"/>
      <c r="AE47" s="444"/>
      <c r="AF47" s="444"/>
      <c r="AG47" s="444"/>
      <c r="AH47" s="444"/>
      <c r="AI47" s="444"/>
      <c r="AJ47" s="444"/>
      <c r="AK47" s="444"/>
      <c r="AL47" s="444"/>
      <c r="AM47" s="444"/>
      <c r="AN47" s="444"/>
      <c r="AO47" s="444"/>
      <c r="AP47" s="444"/>
    </row>
    <row r="48" spans="1:45" ht="20.100000000000001" customHeight="1" x14ac:dyDescent="0.4">
      <c r="B48" s="472">
        <v>3</v>
      </c>
      <c r="C48" s="452">
        <v>0.4236111111111111</v>
      </c>
      <c r="D48" s="452"/>
      <c r="E48" s="452"/>
      <c r="F48" s="443"/>
      <c r="G48" s="444"/>
      <c r="H48" s="444"/>
      <c r="I48" s="444"/>
      <c r="J48" s="445" t="str">
        <f t="shared" ref="J48" si="18">IFERROR(VLOOKUP(AR48,$C$36:$N$41,3,0),"")&amp;IFERROR(VLOOKUP(AR48,$Q$36:$AB$41,3,0),"")&amp;IFERROR(VLOOKUP(AR48,$AE$36:$AP$41,3,0),"")</f>
        <v>ともぞうＳＣ U12</v>
      </c>
      <c r="K48" s="446"/>
      <c r="L48" s="446"/>
      <c r="M48" s="446"/>
      <c r="N48" s="446"/>
      <c r="O48" s="446"/>
      <c r="P48" s="446"/>
      <c r="Q48" s="450">
        <f t="shared" si="14"/>
        <v>2</v>
      </c>
      <c r="R48" s="450"/>
      <c r="S48" s="233">
        <v>1</v>
      </c>
      <c r="T48" s="234" t="s">
        <v>282</v>
      </c>
      <c r="U48" s="233">
        <v>0</v>
      </c>
      <c r="V48" s="450">
        <f t="shared" si="15"/>
        <v>0</v>
      </c>
      <c r="W48" s="450"/>
      <c r="X48" s="447" t="str">
        <f t="shared" ref="X48" si="19">IFERROR(VLOOKUP(AS48,$C$36:$N$41,3,0),"")&amp;IFERROR(VLOOKUP(AS48,$Q$36:$AB$41,3,0),"")&amp;IFERROR(VLOOKUP(AS48,$AE$36:$AP$41,3,0),"")</f>
        <v>ＦＣ Ｒｉｓｏ</v>
      </c>
      <c r="Y48" s="448"/>
      <c r="Z48" s="448"/>
      <c r="AA48" s="448"/>
      <c r="AB48" s="448"/>
      <c r="AC48" s="448"/>
      <c r="AD48" s="448"/>
      <c r="AE48" s="443"/>
      <c r="AF48" s="444"/>
      <c r="AG48" s="444"/>
      <c r="AH48" s="444"/>
      <c r="AI48" s="450" t="str">
        <f ca="1">DBCS(INDIRECT("U12対戦スケジュール!e"&amp;(ROW()/2+19)))</f>
        <v>Ｄ５／Ｄ８／Ｄ８／Ｄ５</v>
      </c>
      <c r="AJ48" s="444"/>
      <c r="AK48" s="444"/>
      <c r="AL48" s="444"/>
      <c r="AM48" s="444"/>
      <c r="AN48" s="444"/>
      <c r="AO48" s="444"/>
      <c r="AP48" s="444"/>
      <c r="AR48" s="56" t="s">
        <v>290</v>
      </c>
      <c r="AS48" s="56" t="s">
        <v>578</v>
      </c>
    </row>
    <row r="49" spans="1:45" ht="20.100000000000001" customHeight="1" x14ac:dyDescent="0.4">
      <c r="B49" s="472"/>
      <c r="C49" s="452"/>
      <c r="D49" s="452"/>
      <c r="E49" s="452"/>
      <c r="F49" s="444"/>
      <c r="G49" s="444"/>
      <c r="H49" s="444"/>
      <c r="I49" s="444"/>
      <c r="J49" s="446"/>
      <c r="K49" s="446"/>
      <c r="L49" s="446"/>
      <c r="M49" s="446"/>
      <c r="N49" s="446"/>
      <c r="O49" s="446"/>
      <c r="P49" s="446"/>
      <c r="Q49" s="450"/>
      <c r="R49" s="450"/>
      <c r="S49" s="233">
        <v>1</v>
      </c>
      <c r="T49" s="234" t="s">
        <v>282</v>
      </c>
      <c r="U49" s="233">
        <v>0</v>
      </c>
      <c r="V49" s="450"/>
      <c r="W49" s="450"/>
      <c r="X49" s="448"/>
      <c r="Y49" s="448"/>
      <c r="Z49" s="448"/>
      <c r="AA49" s="448"/>
      <c r="AB49" s="448"/>
      <c r="AC49" s="448"/>
      <c r="AD49" s="448"/>
      <c r="AE49" s="444"/>
      <c r="AF49" s="444"/>
      <c r="AG49" s="444"/>
      <c r="AH49" s="444"/>
      <c r="AI49" s="444"/>
      <c r="AJ49" s="444"/>
      <c r="AK49" s="444"/>
      <c r="AL49" s="444"/>
      <c r="AM49" s="444"/>
      <c r="AN49" s="444"/>
      <c r="AO49" s="444"/>
      <c r="AP49" s="444"/>
    </row>
    <row r="50" spans="1:45" ht="20.100000000000001" customHeight="1" x14ac:dyDescent="0.4">
      <c r="B50" s="472">
        <v>4</v>
      </c>
      <c r="C50" s="452">
        <v>0.45833333333333331</v>
      </c>
      <c r="D50" s="452">
        <v>0.4375</v>
      </c>
      <c r="E50" s="452"/>
      <c r="F50" s="443"/>
      <c r="G50" s="444"/>
      <c r="H50" s="444"/>
      <c r="I50" s="444"/>
      <c r="J50" s="445" t="str">
        <f t="shared" ref="J50" si="20">IFERROR(VLOOKUP(AR50,$C$36:$N$41,3,0),"")&amp;IFERROR(VLOOKUP(AR50,$Q$36:$AB$41,3,0),"")&amp;IFERROR(VLOOKUP(AR50,$AE$36:$AP$41,3,0),"")</f>
        <v>雀宮ＦＣ</v>
      </c>
      <c r="K50" s="446"/>
      <c r="L50" s="446"/>
      <c r="M50" s="446"/>
      <c r="N50" s="446"/>
      <c r="O50" s="446"/>
      <c r="P50" s="446"/>
      <c r="Q50" s="450">
        <f t="shared" ref="Q50:Q54" si="21">IF(OR(S50="",S51=""),"",S50+S51)</f>
        <v>2</v>
      </c>
      <c r="R50" s="450"/>
      <c r="S50" s="233">
        <v>1</v>
      </c>
      <c r="T50" s="234" t="s">
        <v>282</v>
      </c>
      <c r="U50" s="233">
        <v>0</v>
      </c>
      <c r="V50" s="450">
        <f t="shared" ref="V50:V54" si="22">IF(OR(U50="",U51=""),"",U50+U51)</f>
        <v>0</v>
      </c>
      <c r="W50" s="450"/>
      <c r="X50" s="447" t="str">
        <f t="shared" ref="X50" si="23">IFERROR(VLOOKUP(AS50,$C$36:$N$41,3,0),"")&amp;IFERROR(VLOOKUP(AS50,$Q$36:$AB$41,3,0),"")&amp;IFERROR(VLOOKUP(AS50,$AE$36:$AP$41,3,0),"")</f>
        <v>上河内ＪＳＣ</v>
      </c>
      <c r="Y50" s="448"/>
      <c r="Z50" s="448"/>
      <c r="AA50" s="448"/>
      <c r="AB50" s="448"/>
      <c r="AC50" s="448"/>
      <c r="AD50" s="448"/>
      <c r="AE50" s="443"/>
      <c r="AF50" s="444"/>
      <c r="AG50" s="444"/>
      <c r="AH50" s="444"/>
      <c r="AI50" s="450" t="str">
        <f ca="1">DBCS(INDIRECT("U12対戦スケジュール!e"&amp;(ROW()/2+19)))</f>
        <v>Ｃ５／Ｃ８／Ｃ８／Ｃ５</v>
      </c>
      <c r="AJ50" s="444"/>
      <c r="AK50" s="444"/>
      <c r="AL50" s="444"/>
      <c r="AM50" s="444"/>
      <c r="AN50" s="444"/>
      <c r="AO50" s="444"/>
      <c r="AP50" s="444"/>
      <c r="AR50" s="56" t="s">
        <v>585</v>
      </c>
      <c r="AS50" s="56" t="s">
        <v>580</v>
      </c>
    </row>
    <row r="51" spans="1:45" ht="20.100000000000001" customHeight="1" x14ac:dyDescent="0.4">
      <c r="B51" s="472"/>
      <c r="C51" s="452"/>
      <c r="D51" s="452"/>
      <c r="E51" s="452"/>
      <c r="F51" s="444"/>
      <c r="G51" s="444"/>
      <c r="H51" s="444"/>
      <c r="I51" s="444"/>
      <c r="J51" s="446"/>
      <c r="K51" s="446"/>
      <c r="L51" s="446"/>
      <c r="M51" s="446"/>
      <c r="N51" s="446"/>
      <c r="O51" s="446"/>
      <c r="P51" s="446"/>
      <c r="Q51" s="450"/>
      <c r="R51" s="450"/>
      <c r="S51" s="233">
        <v>1</v>
      </c>
      <c r="T51" s="234" t="s">
        <v>282</v>
      </c>
      <c r="U51" s="233">
        <v>0</v>
      </c>
      <c r="V51" s="450"/>
      <c r="W51" s="450"/>
      <c r="X51" s="448"/>
      <c r="Y51" s="448"/>
      <c r="Z51" s="448"/>
      <c r="AA51" s="448"/>
      <c r="AB51" s="448"/>
      <c r="AC51" s="448"/>
      <c r="AD51" s="448"/>
      <c r="AE51" s="444"/>
      <c r="AF51" s="444"/>
      <c r="AG51" s="444"/>
      <c r="AH51" s="444"/>
      <c r="AI51" s="444"/>
      <c r="AJ51" s="444"/>
      <c r="AK51" s="444"/>
      <c r="AL51" s="444"/>
      <c r="AM51" s="444"/>
      <c r="AN51" s="444"/>
      <c r="AO51" s="444"/>
      <c r="AP51" s="444"/>
    </row>
    <row r="52" spans="1:45" ht="20.100000000000001" customHeight="1" x14ac:dyDescent="0.4">
      <c r="B52" s="472">
        <v>5</v>
      </c>
      <c r="C52" s="452">
        <v>0.49305555555555558</v>
      </c>
      <c r="D52" s="452"/>
      <c r="E52" s="452"/>
      <c r="F52" s="443"/>
      <c r="G52" s="444"/>
      <c r="H52" s="444"/>
      <c r="I52" s="444"/>
      <c r="J52" s="445" t="str">
        <f t="shared" ref="J52" si="24">IFERROR(VLOOKUP(AR52,$C$36:$N$41,3,0),"")&amp;IFERROR(VLOOKUP(AR52,$Q$36:$AB$41,3,0),"")&amp;IFERROR(VLOOKUP(AR52,$AE$36:$AP$41,3,0),"")</f>
        <v>ＦＣグランディール</v>
      </c>
      <c r="K52" s="446"/>
      <c r="L52" s="446"/>
      <c r="M52" s="446"/>
      <c r="N52" s="446"/>
      <c r="O52" s="446"/>
      <c r="P52" s="446"/>
      <c r="Q52" s="450">
        <f t="shared" si="21"/>
        <v>0</v>
      </c>
      <c r="R52" s="450"/>
      <c r="S52" s="233">
        <v>0</v>
      </c>
      <c r="T52" s="234" t="s">
        <v>282</v>
      </c>
      <c r="U52" s="233">
        <v>0</v>
      </c>
      <c r="V52" s="450">
        <f t="shared" si="22"/>
        <v>2</v>
      </c>
      <c r="W52" s="450"/>
      <c r="X52" s="447" t="str">
        <f t="shared" ref="X52" si="25">IFERROR(VLOOKUP(AS52,$C$36:$N$41,3,0),"")&amp;IFERROR(VLOOKUP(AS52,$Q$36:$AB$41,3,0),"")&amp;IFERROR(VLOOKUP(AS52,$AE$36:$AP$41,3,0),"")</f>
        <v>ともぞうＳＣ U12</v>
      </c>
      <c r="Y52" s="448"/>
      <c r="Z52" s="448"/>
      <c r="AA52" s="448"/>
      <c r="AB52" s="448"/>
      <c r="AC52" s="448"/>
      <c r="AD52" s="448"/>
      <c r="AE52" s="443"/>
      <c r="AF52" s="444"/>
      <c r="AG52" s="444"/>
      <c r="AH52" s="444"/>
      <c r="AI52" s="450" t="str">
        <f ca="1">DBCS(INDIRECT("U12対戦スケジュール!e"&amp;(ROW()/2+19)))</f>
        <v>Ｄ２／Ｄ５／Ｄ５／Ｄ２</v>
      </c>
      <c r="AJ52" s="444"/>
      <c r="AK52" s="444"/>
      <c r="AL52" s="444"/>
      <c r="AM52" s="444"/>
      <c r="AN52" s="444"/>
      <c r="AO52" s="444"/>
      <c r="AP52" s="444"/>
      <c r="AR52" s="56" t="s">
        <v>583</v>
      </c>
      <c r="AS52" s="56" t="s">
        <v>290</v>
      </c>
    </row>
    <row r="53" spans="1:45" ht="20.100000000000001" customHeight="1" x14ac:dyDescent="0.4">
      <c r="B53" s="472"/>
      <c r="C53" s="452"/>
      <c r="D53" s="452"/>
      <c r="E53" s="452"/>
      <c r="F53" s="444"/>
      <c r="G53" s="444"/>
      <c r="H53" s="444"/>
      <c r="I53" s="444"/>
      <c r="J53" s="446"/>
      <c r="K53" s="446"/>
      <c r="L53" s="446"/>
      <c r="M53" s="446"/>
      <c r="N53" s="446"/>
      <c r="O53" s="446"/>
      <c r="P53" s="446"/>
      <c r="Q53" s="450"/>
      <c r="R53" s="450"/>
      <c r="S53" s="233">
        <v>0</v>
      </c>
      <c r="T53" s="234" t="s">
        <v>282</v>
      </c>
      <c r="U53" s="233">
        <v>2</v>
      </c>
      <c r="V53" s="450"/>
      <c r="W53" s="450"/>
      <c r="X53" s="448"/>
      <c r="Y53" s="448"/>
      <c r="Z53" s="448"/>
      <c r="AA53" s="448"/>
      <c r="AB53" s="448"/>
      <c r="AC53" s="448"/>
      <c r="AD53" s="448"/>
      <c r="AE53" s="444"/>
      <c r="AF53" s="444"/>
      <c r="AG53" s="444"/>
      <c r="AH53" s="444"/>
      <c r="AI53" s="444"/>
      <c r="AJ53" s="444"/>
      <c r="AK53" s="444"/>
      <c r="AL53" s="444"/>
      <c r="AM53" s="444"/>
      <c r="AN53" s="444"/>
      <c r="AO53" s="444"/>
      <c r="AP53" s="444"/>
    </row>
    <row r="54" spans="1:45" ht="20.100000000000001" customHeight="1" x14ac:dyDescent="0.4">
      <c r="B54" s="472">
        <v>6</v>
      </c>
      <c r="C54" s="452">
        <v>0.52777777777777779</v>
      </c>
      <c r="D54" s="452">
        <v>0.4375</v>
      </c>
      <c r="E54" s="452"/>
      <c r="F54" s="443"/>
      <c r="G54" s="444"/>
      <c r="H54" s="444"/>
      <c r="I54" s="444"/>
      <c r="J54" s="445" t="str">
        <f t="shared" ref="J54" si="26">IFERROR(VLOOKUP(AR54,$C$36:$N$41,3,0),"")&amp;IFERROR(VLOOKUP(AR54,$Q$36:$AB$41,3,0),"")&amp;IFERROR(VLOOKUP(AR54,$AE$36:$AP$41,3,0),"")</f>
        <v>みはらＳＣjr</v>
      </c>
      <c r="K54" s="446"/>
      <c r="L54" s="446"/>
      <c r="M54" s="446"/>
      <c r="N54" s="446"/>
      <c r="O54" s="446"/>
      <c r="P54" s="446"/>
      <c r="Q54" s="450">
        <f t="shared" si="21"/>
        <v>0</v>
      </c>
      <c r="R54" s="450"/>
      <c r="S54" s="233">
        <v>0</v>
      </c>
      <c r="T54" s="234" t="s">
        <v>282</v>
      </c>
      <c r="U54" s="233">
        <v>3</v>
      </c>
      <c r="V54" s="450">
        <f t="shared" si="22"/>
        <v>5</v>
      </c>
      <c r="W54" s="450"/>
      <c r="X54" s="447" t="str">
        <f t="shared" ref="X54" si="27">IFERROR(VLOOKUP(AS54,$C$36:$N$41,3,0),"")&amp;IFERROR(VLOOKUP(AS54,$Q$36:$AB$41,3,0),"")&amp;IFERROR(VLOOKUP(AS54,$AE$36:$AP$41,3,0),"")</f>
        <v>雀宮ＦＣ</v>
      </c>
      <c r="Y54" s="448"/>
      <c r="Z54" s="448"/>
      <c r="AA54" s="448"/>
      <c r="AB54" s="448"/>
      <c r="AC54" s="448"/>
      <c r="AD54" s="448"/>
      <c r="AE54" s="443"/>
      <c r="AF54" s="444"/>
      <c r="AG54" s="444"/>
      <c r="AH54" s="444"/>
      <c r="AI54" s="450" t="str">
        <f ca="1">DBCS(INDIRECT("U12対戦スケジュール!e"&amp;(ROW()/2+19)))</f>
        <v>Ｃ２／Ｃ５／Ｃ５／Ｃ２</v>
      </c>
      <c r="AJ54" s="444"/>
      <c r="AK54" s="444"/>
      <c r="AL54" s="444"/>
      <c r="AM54" s="444"/>
      <c r="AN54" s="444"/>
      <c r="AO54" s="444"/>
      <c r="AP54" s="444"/>
      <c r="AR54" s="56" t="s">
        <v>584</v>
      </c>
      <c r="AS54" s="56" t="s">
        <v>585</v>
      </c>
    </row>
    <row r="55" spans="1:45" ht="20.100000000000001" customHeight="1" x14ac:dyDescent="0.4">
      <c r="B55" s="472"/>
      <c r="C55" s="452"/>
      <c r="D55" s="452"/>
      <c r="E55" s="452"/>
      <c r="F55" s="444"/>
      <c r="G55" s="444"/>
      <c r="H55" s="444"/>
      <c r="I55" s="444"/>
      <c r="J55" s="446"/>
      <c r="K55" s="446"/>
      <c r="L55" s="446"/>
      <c r="M55" s="446"/>
      <c r="N55" s="446"/>
      <c r="O55" s="446"/>
      <c r="P55" s="446"/>
      <c r="Q55" s="450"/>
      <c r="R55" s="450"/>
      <c r="S55" s="233">
        <v>0</v>
      </c>
      <c r="T55" s="234" t="s">
        <v>282</v>
      </c>
      <c r="U55" s="233">
        <v>2</v>
      </c>
      <c r="V55" s="450"/>
      <c r="W55" s="450"/>
      <c r="X55" s="448"/>
      <c r="Y55" s="448"/>
      <c r="Z55" s="448"/>
      <c r="AA55" s="448"/>
      <c r="AB55" s="448"/>
      <c r="AC55" s="448"/>
      <c r="AD55" s="448"/>
      <c r="AE55" s="444"/>
      <c r="AF55" s="444"/>
      <c r="AG55" s="444"/>
      <c r="AH55" s="444"/>
      <c r="AI55" s="444"/>
      <c r="AJ55" s="444"/>
      <c r="AK55" s="444"/>
      <c r="AL55" s="444"/>
      <c r="AM55" s="444"/>
      <c r="AN55" s="444"/>
      <c r="AO55" s="444"/>
      <c r="AP55" s="444"/>
    </row>
    <row r="56" spans="1:45" ht="20.100000000000001" hidden="1" customHeight="1" thickBot="1" x14ac:dyDescent="0.45">
      <c r="B56" s="573">
        <v>7</v>
      </c>
      <c r="C56" s="535">
        <v>0.58333333333333304</v>
      </c>
      <c r="D56" s="541"/>
      <c r="E56" s="542"/>
      <c r="F56" s="547"/>
      <c r="G56" s="548"/>
      <c r="H56" s="548"/>
      <c r="I56" s="549"/>
      <c r="J56" s="553" t="str">
        <f>IFERROR(VLOOKUP(AR56,$C$36:$N$41,3,0),"")&amp;IFERROR(VLOOKUP(AR56,$Q$36:$AB$41,3,0),"")&amp;IFERROR(VLOOKUP(AR56,$AE$36:$AP$41,3,0),"")</f>
        <v/>
      </c>
      <c r="K56" s="554"/>
      <c r="L56" s="554"/>
      <c r="M56" s="554"/>
      <c r="N56" s="554"/>
      <c r="O56" s="554"/>
      <c r="P56" s="555"/>
      <c r="Q56" s="563" t="str">
        <f>IF(OR(S56="",S57=""),"",S56+S57)</f>
        <v/>
      </c>
      <c r="R56" s="564"/>
      <c r="S56" s="228"/>
      <c r="T56" s="229" t="s">
        <v>30</v>
      </c>
      <c r="U56" s="228"/>
      <c r="V56" s="563" t="str">
        <f>IF(OR(U56="",U57=""),"",U56+U57)</f>
        <v/>
      </c>
      <c r="W56" s="564"/>
      <c r="X56" s="559" t="str">
        <f>IFERROR(VLOOKUP(AS56,$C$36:$N$41,3,0),"")&amp;IFERROR(VLOOKUP(AS56,$Q$36:$AB$41,3,0),"")&amp;IFERROR(VLOOKUP(AS56,$AE$36:$AP$41,3,0),"")</f>
        <v/>
      </c>
      <c r="Y56" s="554"/>
      <c r="Z56" s="554"/>
      <c r="AA56" s="554"/>
      <c r="AB56" s="554"/>
      <c r="AC56" s="554"/>
      <c r="AD56" s="560"/>
      <c r="AE56" s="547"/>
      <c r="AF56" s="548"/>
      <c r="AG56" s="548"/>
      <c r="AH56" s="549"/>
      <c r="AI56" s="567" t="str">
        <f ca="1">DBCS(INDIRECT("U12対戦スケジュール!e"&amp;(ROW()/2+19)))</f>
        <v/>
      </c>
      <c r="AJ56" s="568"/>
      <c r="AK56" s="568"/>
      <c r="AL56" s="568"/>
      <c r="AM56" s="568"/>
      <c r="AN56" s="568"/>
      <c r="AO56" s="568"/>
      <c r="AP56" s="569"/>
    </row>
    <row r="57" spans="1:45" ht="20.100000000000001" hidden="1" customHeight="1" thickBot="1" x14ac:dyDescent="0.45">
      <c r="B57" s="574"/>
      <c r="C57" s="543"/>
      <c r="D57" s="544"/>
      <c r="E57" s="545"/>
      <c r="F57" s="550"/>
      <c r="G57" s="551"/>
      <c r="H57" s="551"/>
      <c r="I57" s="552"/>
      <c r="J57" s="556"/>
      <c r="K57" s="557"/>
      <c r="L57" s="557"/>
      <c r="M57" s="557"/>
      <c r="N57" s="557"/>
      <c r="O57" s="557"/>
      <c r="P57" s="558"/>
      <c r="Q57" s="565"/>
      <c r="R57" s="566"/>
      <c r="S57" s="67"/>
      <c r="T57" s="131" t="s">
        <v>30</v>
      </c>
      <c r="U57" s="67"/>
      <c r="V57" s="565"/>
      <c r="W57" s="566"/>
      <c r="X57" s="561"/>
      <c r="Y57" s="557"/>
      <c r="Z57" s="557"/>
      <c r="AA57" s="557"/>
      <c r="AB57" s="557"/>
      <c r="AC57" s="557"/>
      <c r="AD57" s="562"/>
      <c r="AE57" s="550"/>
      <c r="AF57" s="551"/>
      <c r="AG57" s="551"/>
      <c r="AH57" s="552"/>
      <c r="AI57" s="570"/>
      <c r="AJ57" s="571"/>
      <c r="AK57" s="571"/>
      <c r="AL57" s="571"/>
      <c r="AM57" s="571"/>
      <c r="AN57" s="571"/>
      <c r="AO57" s="571"/>
      <c r="AP57" s="572"/>
    </row>
    <row r="58" spans="1:45" s="55" customFormat="1" ht="15.75" customHeight="1" x14ac:dyDescent="0.4">
      <c r="A58" s="58"/>
      <c r="B58" s="59"/>
      <c r="C58" s="60"/>
      <c r="D58" s="60"/>
      <c r="E58" s="60"/>
      <c r="F58" s="59"/>
      <c r="G58" s="59"/>
      <c r="H58" s="59"/>
      <c r="I58" s="59"/>
      <c r="J58" s="59"/>
      <c r="K58" s="61"/>
      <c r="L58" s="61"/>
      <c r="M58" s="62"/>
      <c r="N58" s="63"/>
      <c r="O58" s="62"/>
      <c r="P58" s="61"/>
      <c r="Q58" s="61"/>
      <c r="R58" s="59"/>
      <c r="S58" s="59"/>
      <c r="T58" s="59"/>
      <c r="U58" s="59"/>
      <c r="V58" s="59"/>
      <c r="W58" s="66"/>
      <c r="X58" s="66"/>
      <c r="Y58" s="66"/>
      <c r="Z58" s="66"/>
      <c r="AA58" s="66"/>
      <c r="AB58" s="66"/>
      <c r="AC58" s="58"/>
    </row>
    <row r="59" spans="1:45" ht="20.25" customHeight="1" x14ac:dyDescent="0.4">
      <c r="D59" s="477" t="s">
        <v>31</v>
      </c>
      <c r="E59" s="477"/>
      <c r="F59" s="477"/>
      <c r="G59" s="477"/>
      <c r="H59" s="477"/>
      <c r="I59" s="477"/>
      <c r="J59" s="477" t="s">
        <v>27</v>
      </c>
      <c r="K59" s="477"/>
      <c r="L59" s="477"/>
      <c r="M59" s="477"/>
      <c r="N59" s="477"/>
      <c r="O59" s="477"/>
      <c r="P59" s="477"/>
      <c r="Q59" s="477"/>
      <c r="R59" s="478" t="s">
        <v>32</v>
      </c>
      <c r="S59" s="478"/>
      <c r="T59" s="478"/>
      <c r="U59" s="478"/>
      <c r="V59" s="478"/>
      <c r="W59" s="478"/>
      <c r="X59" s="478"/>
      <c r="Y59" s="478"/>
      <c r="Z59" s="478"/>
      <c r="AA59" s="479" t="s">
        <v>33</v>
      </c>
      <c r="AB59" s="479"/>
      <c r="AC59" s="479"/>
      <c r="AD59" s="479" t="s">
        <v>34</v>
      </c>
      <c r="AE59" s="479"/>
      <c r="AF59" s="479"/>
      <c r="AG59" s="479"/>
      <c r="AH59" s="479"/>
      <c r="AI59" s="479"/>
      <c r="AJ59" s="479"/>
      <c r="AK59" s="479"/>
      <c r="AL59" s="479"/>
      <c r="AM59" s="479"/>
    </row>
    <row r="60" spans="1:45" ht="30" customHeight="1" x14ac:dyDescent="0.4">
      <c r="D60" s="477" t="s">
        <v>35</v>
      </c>
      <c r="E60" s="477"/>
      <c r="F60" s="477"/>
      <c r="G60" s="477"/>
      <c r="H60" s="477"/>
      <c r="I60" s="477"/>
      <c r="J60" s="477" t="s">
        <v>587</v>
      </c>
      <c r="K60" s="477"/>
      <c r="L60" s="477"/>
      <c r="M60" s="477"/>
      <c r="N60" s="477"/>
      <c r="O60" s="477"/>
      <c r="P60" s="477"/>
      <c r="Q60" s="477"/>
      <c r="R60" s="478" t="s">
        <v>588</v>
      </c>
      <c r="S60" s="478"/>
      <c r="T60" s="478"/>
      <c r="U60" s="478"/>
      <c r="V60" s="478"/>
      <c r="W60" s="478"/>
      <c r="X60" s="478"/>
      <c r="Y60" s="478"/>
      <c r="Z60" s="478"/>
      <c r="AA60" s="481">
        <v>7</v>
      </c>
      <c r="AB60" s="481"/>
      <c r="AC60" s="481"/>
      <c r="AD60" s="480" t="s">
        <v>589</v>
      </c>
      <c r="AE60" s="480"/>
      <c r="AF60" s="480"/>
      <c r="AG60" s="480"/>
      <c r="AH60" s="480"/>
      <c r="AI60" s="480"/>
      <c r="AJ60" s="480"/>
      <c r="AK60" s="480"/>
      <c r="AL60" s="480"/>
      <c r="AM60" s="480"/>
    </row>
    <row r="61" spans="1:45" ht="30" customHeight="1" x14ac:dyDescent="0.4">
      <c r="D61" s="477" t="s">
        <v>35</v>
      </c>
      <c r="E61" s="477"/>
      <c r="F61" s="477"/>
      <c r="G61" s="477"/>
      <c r="H61" s="477"/>
      <c r="I61" s="477"/>
      <c r="J61" s="477"/>
      <c r="K61" s="477"/>
      <c r="L61" s="477"/>
      <c r="M61" s="477"/>
      <c r="N61" s="477"/>
      <c r="O61" s="477"/>
      <c r="P61" s="477"/>
      <c r="Q61" s="477"/>
      <c r="R61" s="478"/>
      <c r="S61" s="478"/>
      <c r="T61" s="478"/>
      <c r="U61" s="478"/>
      <c r="V61" s="478"/>
      <c r="W61" s="478"/>
      <c r="X61" s="478"/>
      <c r="Y61" s="478"/>
      <c r="Z61" s="478"/>
      <c r="AA61" s="479"/>
      <c r="AB61" s="479"/>
      <c r="AC61" s="479"/>
      <c r="AD61" s="480"/>
      <c r="AE61" s="480"/>
      <c r="AF61" s="480"/>
      <c r="AG61" s="480"/>
      <c r="AH61" s="480"/>
      <c r="AI61" s="480"/>
      <c r="AJ61" s="480"/>
      <c r="AK61" s="480"/>
      <c r="AL61" s="480"/>
      <c r="AM61" s="480"/>
    </row>
    <row r="62" spans="1:45" ht="30" customHeight="1" x14ac:dyDescent="0.4">
      <c r="D62" s="477" t="s">
        <v>35</v>
      </c>
      <c r="E62" s="477"/>
      <c r="F62" s="477"/>
      <c r="G62" s="477"/>
      <c r="H62" s="477"/>
      <c r="I62" s="477"/>
      <c r="J62" s="477"/>
      <c r="K62" s="477"/>
      <c r="L62" s="477"/>
      <c r="M62" s="477"/>
      <c r="N62" s="477"/>
      <c r="O62" s="477"/>
      <c r="P62" s="477"/>
      <c r="Q62" s="477"/>
      <c r="R62" s="478"/>
      <c r="S62" s="478"/>
      <c r="T62" s="478"/>
      <c r="U62" s="478"/>
      <c r="V62" s="478"/>
      <c r="W62" s="478"/>
      <c r="X62" s="478"/>
      <c r="Y62" s="478"/>
      <c r="Z62" s="478"/>
      <c r="AA62" s="479"/>
      <c r="AB62" s="479"/>
      <c r="AC62" s="479"/>
      <c r="AD62" s="480"/>
      <c r="AE62" s="480"/>
      <c r="AF62" s="480"/>
      <c r="AG62" s="480"/>
      <c r="AH62" s="480"/>
      <c r="AI62" s="480"/>
      <c r="AJ62" s="480"/>
      <c r="AK62" s="480"/>
      <c r="AL62" s="480"/>
      <c r="AM62" s="480"/>
    </row>
    <row r="63" spans="1:45" ht="14.25" customHeight="1" x14ac:dyDescent="0.4">
      <c r="A63" s="451" t="s">
        <v>547</v>
      </c>
      <c r="B63" s="451"/>
      <c r="C63" s="451"/>
      <c r="D63" s="451"/>
      <c r="E63" s="451"/>
      <c r="F63" s="451"/>
      <c r="G63" s="451"/>
      <c r="H63" s="451"/>
      <c r="I63" s="451"/>
      <c r="J63" s="451"/>
      <c r="K63" s="451"/>
      <c r="L63" s="451"/>
      <c r="M63" s="451"/>
      <c r="N63" s="451"/>
      <c r="O63" s="451"/>
      <c r="P63" s="451"/>
      <c r="Q63" s="451"/>
      <c r="R63" s="451"/>
      <c r="S63" s="451"/>
      <c r="T63" s="451"/>
      <c r="U63" s="451"/>
      <c r="V63" s="451"/>
      <c r="W63" s="451"/>
      <c r="X63" s="451"/>
      <c r="Y63" s="451"/>
      <c r="Z63" s="451"/>
      <c r="AA63" s="451"/>
      <c r="AB63" s="451"/>
      <c r="AC63" s="451"/>
      <c r="AD63" s="451"/>
      <c r="AE63" s="451"/>
      <c r="AF63" s="451"/>
      <c r="AG63" s="451"/>
      <c r="AH63" s="451"/>
      <c r="AI63" s="451"/>
      <c r="AJ63" s="451"/>
      <c r="AK63" s="451"/>
      <c r="AL63" s="451"/>
      <c r="AM63" s="451"/>
      <c r="AN63" s="451"/>
      <c r="AO63" s="451"/>
      <c r="AP63" s="451"/>
      <c r="AQ63" s="451"/>
    </row>
    <row r="64" spans="1:45" ht="14.25" customHeight="1" x14ac:dyDescent="0.4">
      <c r="A64" s="451"/>
      <c r="B64" s="451"/>
      <c r="C64" s="451"/>
      <c r="D64" s="451"/>
      <c r="E64" s="451"/>
      <c r="F64" s="451"/>
      <c r="G64" s="451"/>
      <c r="H64" s="451"/>
      <c r="I64" s="451"/>
      <c r="J64" s="451"/>
      <c r="K64" s="451"/>
      <c r="L64" s="451"/>
      <c r="M64" s="451"/>
      <c r="N64" s="451"/>
      <c r="O64" s="451"/>
      <c r="P64" s="451"/>
      <c r="Q64" s="451"/>
      <c r="R64" s="451"/>
      <c r="S64" s="451"/>
      <c r="T64" s="451"/>
      <c r="U64" s="451"/>
      <c r="V64" s="451"/>
      <c r="W64" s="451"/>
      <c r="X64" s="451"/>
      <c r="Y64" s="451"/>
      <c r="Z64" s="451"/>
      <c r="AA64" s="451"/>
      <c r="AB64" s="451"/>
      <c r="AC64" s="451"/>
      <c r="AD64" s="451"/>
      <c r="AE64" s="451"/>
      <c r="AF64" s="451"/>
      <c r="AG64" s="451"/>
      <c r="AH64" s="451"/>
      <c r="AI64" s="451"/>
      <c r="AJ64" s="451"/>
      <c r="AK64" s="451"/>
      <c r="AL64" s="451"/>
      <c r="AM64" s="451"/>
      <c r="AN64" s="451"/>
      <c r="AO64" s="451"/>
      <c r="AP64" s="451"/>
      <c r="AQ64" s="451"/>
    </row>
    <row r="65" spans="2:45" ht="27.75" customHeight="1" x14ac:dyDescent="0.4">
      <c r="C65" s="460" t="s">
        <v>8</v>
      </c>
      <c r="D65" s="460"/>
      <c r="E65" s="460"/>
      <c r="F65" s="460"/>
      <c r="G65" s="482" t="str">
        <f>U12対戦スケジュール!D64</f>
        <v>石井緑地 No.４</v>
      </c>
      <c r="H65" s="483"/>
      <c r="I65" s="483"/>
      <c r="J65" s="483"/>
      <c r="K65" s="483"/>
      <c r="L65" s="483"/>
      <c r="M65" s="483"/>
      <c r="N65" s="483"/>
      <c r="O65" s="483"/>
      <c r="P65" s="460" t="s">
        <v>0</v>
      </c>
      <c r="Q65" s="460"/>
      <c r="R65" s="460"/>
      <c r="S65" s="460"/>
      <c r="T65" s="482" t="str">
        <f>U12対戦スケジュール!D65</f>
        <v>カテット白沢ＳＳ</v>
      </c>
      <c r="U65" s="483"/>
      <c r="V65" s="483"/>
      <c r="W65" s="483"/>
      <c r="X65" s="483"/>
      <c r="Y65" s="483"/>
      <c r="Z65" s="483"/>
      <c r="AA65" s="483"/>
      <c r="AB65" s="483"/>
      <c r="AC65" s="460" t="s">
        <v>9</v>
      </c>
      <c r="AD65" s="460"/>
      <c r="AE65" s="460"/>
      <c r="AF65" s="460"/>
      <c r="AG65" s="484">
        <f>U12組合せ!$B36</f>
        <v>43750</v>
      </c>
      <c r="AH65" s="485"/>
      <c r="AI65" s="485"/>
      <c r="AJ65" s="485"/>
      <c r="AK65" s="485"/>
      <c r="AL65" s="485"/>
      <c r="AM65" s="486" t="str">
        <f>"（"&amp;TEXT(AG65,"aaa")&amp;"）"</f>
        <v>（土）</v>
      </c>
      <c r="AN65" s="486"/>
      <c r="AO65" s="487"/>
    </row>
    <row r="66" spans="2:45" ht="15" customHeight="1" x14ac:dyDescent="0.4"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64"/>
      <c r="X66" s="64"/>
      <c r="Y66" s="64"/>
      <c r="Z66" s="64"/>
      <c r="AA66" s="64"/>
      <c r="AB66" s="64"/>
      <c r="AC66" s="64"/>
    </row>
    <row r="67" spans="2:45" ht="18" customHeight="1" x14ac:dyDescent="0.4">
      <c r="C67" s="475" t="s">
        <v>38</v>
      </c>
      <c r="D67" s="475"/>
      <c r="E67" s="476" t="str">
        <f>U12組合せ!$H$14</f>
        <v>清原ＳＳＳ</v>
      </c>
      <c r="F67" s="476"/>
      <c r="G67" s="476"/>
      <c r="H67" s="476"/>
      <c r="I67" s="476"/>
      <c r="J67" s="476"/>
      <c r="K67" s="476"/>
      <c r="L67" s="476"/>
      <c r="M67" s="476"/>
      <c r="N67" s="476"/>
      <c r="O67" s="58"/>
      <c r="P67" s="58"/>
      <c r="Q67" s="475" t="s">
        <v>39</v>
      </c>
      <c r="R67" s="475"/>
      <c r="S67" s="476" t="str">
        <f>U12組合せ!$H$15</f>
        <v>ＦＣグランディール</v>
      </c>
      <c r="T67" s="476"/>
      <c r="U67" s="476"/>
      <c r="V67" s="476"/>
      <c r="W67" s="476"/>
      <c r="X67" s="476"/>
      <c r="Y67" s="476"/>
      <c r="Z67" s="476"/>
      <c r="AA67" s="476"/>
      <c r="AB67" s="476"/>
      <c r="AC67" s="68"/>
      <c r="AD67" s="55"/>
      <c r="AE67" s="475" t="s">
        <v>40</v>
      </c>
      <c r="AF67" s="475"/>
      <c r="AG67" s="476" t="str">
        <f>U12組合せ!$H$16</f>
        <v>ＦＣブロケード</v>
      </c>
      <c r="AH67" s="476"/>
      <c r="AI67" s="476"/>
      <c r="AJ67" s="476"/>
      <c r="AK67" s="476"/>
      <c r="AL67" s="476"/>
      <c r="AM67" s="476"/>
      <c r="AN67" s="476"/>
      <c r="AO67" s="476"/>
      <c r="AP67" s="476"/>
    </row>
    <row r="68" spans="2:45" ht="18" customHeight="1" x14ac:dyDescent="0.4">
      <c r="C68" s="475" t="s">
        <v>41</v>
      </c>
      <c r="D68" s="475"/>
      <c r="E68" s="476" t="str">
        <f>U12組合せ!$H$17</f>
        <v>緑が丘ＹＦＣ</v>
      </c>
      <c r="F68" s="476"/>
      <c r="G68" s="476"/>
      <c r="H68" s="476"/>
      <c r="I68" s="476"/>
      <c r="J68" s="476"/>
      <c r="K68" s="476"/>
      <c r="L68" s="476"/>
      <c r="M68" s="476"/>
      <c r="N68" s="476"/>
      <c r="O68" s="58"/>
      <c r="P68" s="58"/>
      <c r="Q68" s="475" t="s">
        <v>42</v>
      </c>
      <c r="R68" s="475"/>
      <c r="S68" s="476" t="str">
        <f>U12組合せ!$H$18</f>
        <v>ともぞうＳＣ U12</v>
      </c>
      <c r="T68" s="476"/>
      <c r="U68" s="476"/>
      <c r="V68" s="476"/>
      <c r="W68" s="476"/>
      <c r="X68" s="476"/>
      <c r="Y68" s="476"/>
      <c r="Z68" s="476"/>
      <c r="AA68" s="476"/>
      <c r="AB68" s="476"/>
      <c r="AC68" s="68"/>
      <c r="AD68" s="55"/>
      <c r="AE68" s="475" t="s">
        <v>43</v>
      </c>
      <c r="AF68" s="475"/>
      <c r="AG68" s="476" t="str">
        <f>U12組合せ!$H$19</f>
        <v>ＦＣアネーロ･U-12</v>
      </c>
      <c r="AH68" s="476"/>
      <c r="AI68" s="476"/>
      <c r="AJ68" s="476"/>
      <c r="AK68" s="476"/>
      <c r="AL68" s="476"/>
      <c r="AM68" s="476"/>
      <c r="AN68" s="476"/>
      <c r="AO68" s="476"/>
      <c r="AP68" s="476"/>
    </row>
    <row r="69" spans="2:45" ht="18" customHeight="1" thickBot="1" x14ac:dyDescent="0.45">
      <c r="C69" s="577" t="s">
        <v>44</v>
      </c>
      <c r="D69" s="577"/>
      <c r="E69" s="578" t="str">
        <f>U12組合せ!$H$20</f>
        <v>細谷サッカークラブ</v>
      </c>
      <c r="F69" s="578"/>
      <c r="G69" s="578"/>
      <c r="H69" s="578"/>
      <c r="I69" s="578"/>
      <c r="J69" s="578"/>
      <c r="K69" s="578"/>
      <c r="L69" s="578"/>
      <c r="M69" s="578"/>
      <c r="N69" s="578"/>
      <c r="O69" s="58"/>
      <c r="P69" s="58"/>
      <c r="Q69" s="577" t="s">
        <v>45</v>
      </c>
      <c r="R69" s="577"/>
      <c r="S69" s="578" t="str">
        <f>U12組合せ!$H$21</f>
        <v>ＦＣ Ｒｉｓｏ</v>
      </c>
      <c r="T69" s="578"/>
      <c r="U69" s="578"/>
      <c r="V69" s="578"/>
      <c r="W69" s="578"/>
      <c r="X69" s="578"/>
      <c r="Y69" s="578"/>
      <c r="Z69" s="578"/>
      <c r="AA69" s="578"/>
      <c r="AB69" s="578"/>
      <c r="AC69" s="68"/>
      <c r="AD69" s="55"/>
      <c r="AE69" s="577" t="s">
        <v>46</v>
      </c>
      <c r="AF69" s="577"/>
      <c r="AG69" s="578" t="str">
        <f>U12組合せ!$H$22</f>
        <v>上三川ＦＣ</v>
      </c>
      <c r="AH69" s="578"/>
      <c r="AI69" s="578"/>
      <c r="AJ69" s="578"/>
      <c r="AK69" s="578"/>
      <c r="AL69" s="578"/>
      <c r="AM69" s="578"/>
      <c r="AN69" s="578"/>
      <c r="AO69" s="578"/>
      <c r="AP69" s="578"/>
    </row>
    <row r="70" spans="2:45" ht="18" customHeight="1" x14ac:dyDescent="0.4">
      <c r="C70" s="579" t="s">
        <v>47</v>
      </c>
      <c r="D70" s="579"/>
      <c r="E70" s="580" t="str">
        <f>U12組合せ!$J$14</f>
        <v>本郷北ＦＣ</v>
      </c>
      <c r="F70" s="580"/>
      <c r="G70" s="580"/>
      <c r="H70" s="580"/>
      <c r="I70" s="580"/>
      <c r="J70" s="580"/>
      <c r="K70" s="580"/>
      <c r="L70" s="580"/>
      <c r="M70" s="580"/>
      <c r="N70" s="580"/>
      <c r="O70" s="58"/>
      <c r="P70" s="58"/>
      <c r="Q70" s="579" t="s">
        <v>48</v>
      </c>
      <c r="R70" s="579"/>
      <c r="S70" s="580" t="str">
        <f>U12組合せ!$J$15</f>
        <v>みはらＳＣjr</v>
      </c>
      <c r="T70" s="580"/>
      <c r="U70" s="580"/>
      <c r="V70" s="580"/>
      <c r="W70" s="580"/>
      <c r="X70" s="580"/>
      <c r="Y70" s="580"/>
      <c r="Z70" s="580"/>
      <c r="AA70" s="580"/>
      <c r="AB70" s="580"/>
      <c r="AC70" s="68"/>
      <c r="AD70" s="55"/>
      <c r="AE70" s="579" t="s">
        <v>49</v>
      </c>
      <c r="AF70" s="579"/>
      <c r="AG70" s="580" t="str">
        <f>U12組合せ!$J$16</f>
        <v>Ｓ４スペランツァ</v>
      </c>
      <c r="AH70" s="580"/>
      <c r="AI70" s="580"/>
      <c r="AJ70" s="580"/>
      <c r="AK70" s="580"/>
      <c r="AL70" s="580"/>
      <c r="AM70" s="580"/>
      <c r="AN70" s="580"/>
      <c r="AO70" s="580"/>
      <c r="AP70" s="580"/>
    </row>
    <row r="71" spans="2:45" ht="18" customHeight="1" x14ac:dyDescent="0.4">
      <c r="B71" s="57"/>
      <c r="C71" s="475" t="s">
        <v>50</v>
      </c>
      <c r="D71" s="475"/>
      <c r="E71" s="476" t="str">
        <f>U12組合せ!$J$17</f>
        <v>カテット白沢ＳＳ</v>
      </c>
      <c r="F71" s="476"/>
      <c r="G71" s="476"/>
      <c r="H71" s="476"/>
      <c r="I71" s="476"/>
      <c r="J71" s="476"/>
      <c r="K71" s="476"/>
      <c r="L71" s="476"/>
      <c r="M71" s="476"/>
      <c r="N71" s="476"/>
      <c r="O71" s="58"/>
      <c r="P71" s="58"/>
      <c r="Q71" s="475" t="s">
        <v>51</v>
      </c>
      <c r="R71" s="475"/>
      <c r="S71" s="476" t="str">
        <f>U12組合せ!$J$18</f>
        <v>雀宮ＦＣ</v>
      </c>
      <c r="T71" s="476"/>
      <c r="U71" s="476"/>
      <c r="V71" s="476"/>
      <c r="W71" s="476"/>
      <c r="X71" s="476"/>
      <c r="Y71" s="476"/>
      <c r="Z71" s="476"/>
      <c r="AA71" s="476"/>
      <c r="AB71" s="476"/>
      <c r="AC71" s="68"/>
      <c r="AD71" s="55"/>
      <c r="AE71" s="475" t="s">
        <v>52</v>
      </c>
      <c r="AF71" s="475"/>
      <c r="AG71" s="476" t="str">
        <f>U12組合せ!$J$19</f>
        <v>富士見ＳＳＳ</v>
      </c>
      <c r="AH71" s="476"/>
      <c r="AI71" s="476"/>
      <c r="AJ71" s="476"/>
      <c r="AK71" s="476"/>
      <c r="AL71" s="476"/>
      <c r="AM71" s="476"/>
      <c r="AN71" s="476"/>
      <c r="AO71" s="476"/>
      <c r="AP71" s="476"/>
      <c r="AQ71" s="57"/>
    </row>
    <row r="72" spans="2:45" ht="18" customHeight="1" x14ac:dyDescent="0.4">
      <c r="C72" s="475" t="s">
        <v>53</v>
      </c>
      <c r="D72" s="475"/>
      <c r="E72" s="476" t="str">
        <f>U12組合せ!$J$20</f>
        <v>ＦＣみらいＶ</v>
      </c>
      <c r="F72" s="476"/>
      <c r="G72" s="476"/>
      <c r="H72" s="476"/>
      <c r="I72" s="476"/>
      <c r="J72" s="476"/>
      <c r="K72" s="476"/>
      <c r="L72" s="476"/>
      <c r="M72" s="476"/>
      <c r="N72" s="476"/>
      <c r="O72" s="58"/>
      <c r="P72" s="58"/>
      <c r="Q72" s="475" t="s">
        <v>54</v>
      </c>
      <c r="R72" s="475"/>
      <c r="S72" s="476" t="str">
        <f>U12組合せ!$J$21</f>
        <v>上河内ＪＳＣ</v>
      </c>
      <c r="T72" s="476"/>
      <c r="U72" s="476"/>
      <c r="V72" s="476"/>
      <c r="W72" s="476"/>
      <c r="X72" s="476"/>
      <c r="Y72" s="476"/>
      <c r="Z72" s="476"/>
      <c r="AA72" s="476"/>
      <c r="AB72" s="476"/>
      <c r="AC72" s="68"/>
      <c r="AD72" s="55"/>
      <c r="AE72" s="475" t="s">
        <v>55</v>
      </c>
      <c r="AF72" s="475"/>
      <c r="AG72" s="476" t="str">
        <f>U12組合せ!$J$22</f>
        <v>ジュベニール</v>
      </c>
      <c r="AH72" s="476"/>
      <c r="AI72" s="476"/>
      <c r="AJ72" s="476"/>
      <c r="AK72" s="476"/>
      <c r="AL72" s="476"/>
      <c r="AM72" s="476"/>
      <c r="AN72" s="476"/>
      <c r="AO72" s="476"/>
      <c r="AP72" s="476"/>
    </row>
    <row r="73" spans="2:45" ht="21" customHeight="1" x14ac:dyDescent="0.4">
      <c r="B73" s="56" t="s">
        <v>569</v>
      </c>
    </row>
    <row r="74" spans="2:45" ht="20.25" customHeight="1" x14ac:dyDescent="0.4">
      <c r="B74" s="219"/>
      <c r="C74" s="456" t="s">
        <v>25</v>
      </c>
      <c r="D74" s="456"/>
      <c r="E74" s="456"/>
      <c r="F74" s="458" t="s">
        <v>26</v>
      </c>
      <c r="G74" s="459"/>
      <c r="H74" s="459"/>
      <c r="I74" s="459"/>
      <c r="J74" s="456" t="s">
        <v>27</v>
      </c>
      <c r="K74" s="457"/>
      <c r="L74" s="457"/>
      <c r="M74" s="457"/>
      <c r="N74" s="457"/>
      <c r="O74" s="457"/>
      <c r="P74" s="457"/>
      <c r="Q74" s="456" t="s">
        <v>540</v>
      </c>
      <c r="R74" s="456"/>
      <c r="S74" s="456"/>
      <c r="T74" s="456"/>
      <c r="U74" s="456"/>
      <c r="V74" s="456"/>
      <c r="W74" s="456"/>
      <c r="X74" s="456" t="s">
        <v>27</v>
      </c>
      <c r="Y74" s="457"/>
      <c r="Z74" s="457"/>
      <c r="AA74" s="457"/>
      <c r="AB74" s="457"/>
      <c r="AC74" s="457"/>
      <c r="AD74" s="457"/>
      <c r="AE74" s="458" t="s">
        <v>26</v>
      </c>
      <c r="AF74" s="459"/>
      <c r="AG74" s="459"/>
      <c r="AH74" s="459"/>
      <c r="AI74" s="456" t="s">
        <v>29</v>
      </c>
      <c r="AJ74" s="456"/>
      <c r="AK74" s="457"/>
      <c r="AL74" s="457"/>
      <c r="AM74" s="457"/>
      <c r="AN74" s="457"/>
      <c r="AO74" s="457"/>
      <c r="AP74" s="457"/>
    </row>
    <row r="75" spans="2:45" ht="20.100000000000001" customHeight="1" x14ac:dyDescent="0.4">
      <c r="B75" s="472">
        <v>1</v>
      </c>
      <c r="C75" s="449">
        <v>0.375</v>
      </c>
      <c r="D75" s="449"/>
      <c r="E75" s="449"/>
      <c r="F75" s="443"/>
      <c r="G75" s="444"/>
      <c r="H75" s="444"/>
      <c r="I75" s="444"/>
      <c r="J75" s="445" t="str">
        <f>IFERROR(VLOOKUP(AR75,$C$67:$N$72,3,0),"")&amp;IFERROR(VLOOKUP(AR75,$Q$67:$AB$72,3,0),"")&amp;IFERROR(VLOOKUP(AR75,$AE$67:$AP$72,3,0),"")</f>
        <v>緑が丘ＹＦＣ</v>
      </c>
      <c r="K75" s="446"/>
      <c r="L75" s="446"/>
      <c r="M75" s="446"/>
      <c r="N75" s="446"/>
      <c r="O75" s="446"/>
      <c r="P75" s="446"/>
      <c r="Q75" s="450" t="str">
        <f t="shared" ref="Q75:Q79" si="28">IF(OR(S75="",S76=""),"",S75+S76)</f>
        <v/>
      </c>
      <c r="R75" s="450"/>
      <c r="S75" s="220"/>
      <c r="T75" s="221" t="s">
        <v>30</v>
      </c>
      <c r="U75" s="220"/>
      <c r="V75" s="450" t="str">
        <f t="shared" ref="V75:V79" si="29">IF(OR(U75="",U76=""),"",U75+U76)</f>
        <v/>
      </c>
      <c r="W75" s="450"/>
      <c r="X75" s="447" t="str">
        <f>IFERROR(VLOOKUP(AS75,$C$67:$N$72,3,0),"")&amp;IFERROR(VLOOKUP(AS75,$Q$67:$AB$72,3,0),"")&amp;IFERROR(VLOOKUP(AS75,$AE$67:$AP$72,3,0),"")</f>
        <v>ＦＣ Ｒｉｓｏ</v>
      </c>
      <c r="Y75" s="448"/>
      <c r="Z75" s="448"/>
      <c r="AA75" s="448"/>
      <c r="AB75" s="448"/>
      <c r="AC75" s="448"/>
      <c r="AD75" s="448"/>
      <c r="AE75" s="443"/>
      <c r="AF75" s="444"/>
      <c r="AG75" s="444"/>
      <c r="AH75" s="444"/>
      <c r="AI75" s="450" t="str">
        <f ca="1">DBCS(INDIRECT("U12対戦スケジュール!e"&amp;((ROW()-1)/2+29)))</f>
        <v>Ｄ４／Ｄ８／Ｄ８／Ｄ４</v>
      </c>
      <c r="AJ75" s="444"/>
      <c r="AK75" s="444"/>
      <c r="AL75" s="444"/>
      <c r="AM75" s="444"/>
      <c r="AN75" s="444"/>
      <c r="AO75" s="444"/>
      <c r="AP75" s="444"/>
      <c r="AR75" s="56" t="s">
        <v>41</v>
      </c>
      <c r="AS75" s="56" t="s">
        <v>45</v>
      </c>
    </row>
    <row r="76" spans="2:45" ht="20.100000000000001" customHeight="1" x14ac:dyDescent="0.4">
      <c r="B76" s="472"/>
      <c r="C76" s="449"/>
      <c r="D76" s="449"/>
      <c r="E76" s="449"/>
      <c r="F76" s="444"/>
      <c r="G76" s="444"/>
      <c r="H76" s="444"/>
      <c r="I76" s="444"/>
      <c r="J76" s="446"/>
      <c r="K76" s="446"/>
      <c r="L76" s="446"/>
      <c r="M76" s="446"/>
      <c r="N76" s="446"/>
      <c r="O76" s="446"/>
      <c r="P76" s="446"/>
      <c r="Q76" s="450"/>
      <c r="R76" s="450"/>
      <c r="S76" s="220"/>
      <c r="T76" s="221" t="s">
        <v>30</v>
      </c>
      <c r="U76" s="220"/>
      <c r="V76" s="450"/>
      <c r="W76" s="450"/>
      <c r="X76" s="448"/>
      <c r="Y76" s="448"/>
      <c r="Z76" s="448"/>
      <c r="AA76" s="448"/>
      <c r="AB76" s="448"/>
      <c r="AC76" s="448"/>
      <c r="AD76" s="448"/>
      <c r="AE76" s="444"/>
      <c r="AF76" s="444"/>
      <c r="AG76" s="444"/>
      <c r="AH76" s="444"/>
      <c r="AI76" s="444"/>
      <c r="AJ76" s="444"/>
      <c r="AK76" s="444"/>
      <c r="AL76" s="444"/>
      <c r="AM76" s="444"/>
      <c r="AN76" s="444"/>
      <c r="AO76" s="444"/>
      <c r="AP76" s="444"/>
    </row>
    <row r="77" spans="2:45" ht="20.100000000000001" customHeight="1" x14ac:dyDescent="0.4">
      <c r="B77" s="472">
        <v>2</v>
      </c>
      <c r="C77" s="449">
        <v>0.40277777777777773</v>
      </c>
      <c r="D77" s="449">
        <v>0.4375</v>
      </c>
      <c r="E77" s="449"/>
      <c r="F77" s="443"/>
      <c r="G77" s="444"/>
      <c r="H77" s="444"/>
      <c r="I77" s="444"/>
      <c r="J77" s="445" t="str">
        <f t="shared" ref="J77" si="30">IFERROR(VLOOKUP(AR77,$C$67:$N$72,3,0),"")&amp;IFERROR(VLOOKUP(AR77,$Q$67:$AB$72,3,0),"")&amp;IFERROR(VLOOKUP(AR77,$AE$67:$AP$72,3,0),"")</f>
        <v>カテット白沢ＳＳ</v>
      </c>
      <c r="K77" s="446"/>
      <c r="L77" s="446"/>
      <c r="M77" s="446"/>
      <c r="N77" s="446"/>
      <c r="O77" s="446"/>
      <c r="P77" s="446"/>
      <c r="Q77" s="450" t="str">
        <f t="shared" si="28"/>
        <v/>
      </c>
      <c r="R77" s="450"/>
      <c r="S77" s="220"/>
      <c r="T77" s="221" t="s">
        <v>30</v>
      </c>
      <c r="U77" s="220"/>
      <c r="V77" s="450" t="str">
        <f t="shared" si="29"/>
        <v/>
      </c>
      <c r="W77" s="450"/>
      <c r="X77" s="447" t="str">
        <f t="shared" ref="X77" si="31">IFERROR(VLOOKUP(AS77,$C$67:$N$72,3,0),"")&amp;IFERROR(VLOOKUP(AS77,$Q$67:$AB$72,3,0),"")&amp;IFERROR(VLOOKUP(AS77,$AE$67:$AP$72,3,0),"")</f>
        <v>上河内ＪＳＣ</v>
      </c>
      <c r="Y77" s="448"/>
      <c r="Z77" s="448"/>
      <c r="AA77" s="448"/>
      <c r="AB77" s="448"/>
      <c r="AC77" s="448"/>
      <c r="AD77" s="448"/>
      <c r="AE77" s="443"/>
      <c r="AF77" s="444"/>
      <c r="AG77" s="444"/>
      <c r="AH77" s="444"/>
      <c r="AI77" s="450" t="str">
        <f t="shared" ref="AI77" ca="1" si="32">DBCS(INDIRECT("U12対戦スケジュール!e"&amp;((ROW()-1)/2+29)))</f>
        <v>Ｃ４／Ｃ８／Ｃ８／Ｃ４</v>
      </c>
      <c r="AJ77" s="444"/>
      <c r="AK77" s="444"/>
      <c r="AL77" s="444"/>
      <c r="AM77" s="444"/>
      <c r="AN77" s="444"/>
      <c r="AO77" s="444"/>
      <c r="AP77" s="444"/>
      <c r="AR77" s="56" t="s">
        <v>50</v>
      </c>
      <c r="AS77" s="56" t="s">
        <v>54</v>
      </c>
    </row>
    <row r="78" spans="2:45" ht="20.100000000000001" customHeight="1" x14ac:dyDescent="0.4">
      <c r="B78" s="472"/>
      <c r="C78" s="449"/>
      <c r="D78" s="449"/>
      <c r="E78" s="449"/>
      <c r="F78" s="444"/>
      <c r="G78" s="444"/>
      <c r="H78" s="444"/>
      <c r="I78" s="444"/>
      <c r="J78" s="446"/>
      <c r="K78" s="446"/>
      <c r="L78" s="446"/>
      <c r="M78" s="446"/>
      <c r="N78" s="446"/>
      <c r="O78" s="446"/>
      <c r="P78" s="446"/>
      <c r="Q78" s="450"/>
      <c r="R78" s="450"/>
      <c r="S78" s="220"/>
      <c r="T78" s="221" t="s">
        <v>30</v>
      </c>
      <c r="U78" s="220"/>
      <c r="V78" s="450"/>
      <c r="W78" s="450"/>
      <c r="X78" s="448"/>
      <c r="Y78" s="448"/>
      <c r="Z78" s="448"/>
      <c r="AA78" s="448"/>
      <c r="AB78" s="448"/>
      <c r="AC78" s="448"/>
      <c r="AD78" s="448"/>
      <c r="AE78" s="444"/>
      <c r="AF78" s="444"/>
      <c r="AG78" s="444"/>
      <c r="AH78" s="444"/>
      <c r="AI78" s="444"/>
      <c r="AJ78" s="444"/>
      <c r="AK78" s="444"/>
      <c r="AL78" s="444"/>
      <c r="AM78" s="444"/>
      <c r="AN78" s="444"/>
      <c r="AO78" s="444"/>
      <c r="AP78" s="444"/>
    </row>
    <row r="79" spans="2:45" ht="20.100000000000001" customHeight="1" x14ac:dyDescent="0.4">
      <c r="B79" s="472">
        <v>3</v>
      </c>
      <c r="C79" s="449">
        <v>0.43055555555555558</v>
      </c>
      <c r="D79" s="449"/>
      <c r="E79" s="449"/>
      <c r="F79" s="443"/>
      <c r="G79" s="444"/>
      <c r="H79" s="444"/>
      <c r="I79" s="444"/>
      <c r="J79" s="445" t="str">
        <f t="shared" ref="J79" si="33">IFERROR(VLOOKUP(AR79,$C$67:$N$72,3,0),"")&amp;IFERROR(VLOOKUP(AR79,$Q$67:$AB$72,3,0),"")&amp;IFERROR(VLOOKUP(AR79,$AE$67:$AP$72,3,0),"")</f>
        <v>ＦＣブロケード</v>
      </c>
      <c r="K79" s="446"/>
      <c r="L79" s="446"/>
      <c r="M79" s="446"/>
      <c r="N79" s="446"/>
      <c r="O79" s="446"/>
      <c r="P79" s="446"/>
      <c r="Q79" s="450" t="str">
        <f t="shared" si="28"/>
        <v/>
      </c>
      <c r="R79" s="450"/>
      <c r="S79" s="220"/>
      <c r="T79" s="221" t="s">
        <v>30</v>
      </c>
      <c r="U79" s="220"/>
      <c r="V79" s="450" t="str">
        <f t="shared" si="29"/>
        <v/>
      </c>
      <c r="W79" s="450"/>
      <c r="X79" s="447" t="str">
        <f t="shared" ref="X79" si="34">IFERROR(VLOOKUP(AS79,$C$67:$N$72,3,0),"")&amp;IFERROR(VLOOKUP(AS79,$Q$67:$AB$72,3,0),"")&amp;IFERROR(VLOOKUP(AS79,$AE$67:$AP$72,3,0),"")</f>
        <v>緑が丘ＹＦＣ</v>
      </c>
      <c r="Y79" s="448"/>
      <c r="Z79" s="448"/>
      <c r="AA79" s="448"/>
      <c r="AB79" s="448"/>
      <c r="AC79" s="448"/>
      <c r="AD79" s="448"/>
      <c r="AE79" s="443"/>
      <c r="AF79" s="444"/>
      <c r="AG79" s="444"/>
      <c r="AH79" s="444"/>
      <c r="AI79" s="450" t="str">
        <f t="shared" ref="AI79" ca="1" si="35">DBCS(INDIRECT("U12対戦スケジュール!e"&amp;((ROW()-1)/2+29)))</f>
        <v>Ｄ３／Ｄ４／Ｄ４／Ｄ３</v>
      </c>
      <c r="AJ79" s="444"/>
      <c r="AK79" s="444"/>
      <c r="AL79" s="444"/>
      <c r="AM79" s="444"/>
      <c r="AN79" s="444"/>
      <c r="AO79" s="444"/>
      <c r="AP79" s="444"/>
      <c r="AR79" s="56" t="s">
        <v>40</v>
      </c>
      <c r="AS79" s="56" t="s">
        <v>41</v>
      </c>
    </row>
    <row r="80" spans="2:45" ht="20.100000000000001" customHeight="1" x14ac:dyDescent="0.4">
      <c r="B80" s="472"/>
      <c r="C80" s="449"/>
      <c r="D80" s="449"/>
      <c r="E80" s="449"/>
      <c r="F80" s="444"/>
      <c r="G80" s="444"/>
      <c r="H80" s="444"/>
      <c r="I80" s="444"/>
      <c r="J80" s="446"/>
      <c r="K80" s="446"/>
      <c r="L80" s="446"/>
      <c r="M80" s="446"/>
      <c r="N80" s="446"/>
      <c r="O80" s="446"/>
      <c r="P80" s="446"/>
      <c r="Q80" s="450"/>
      <c r="R80" s="450"/>
      <c r="S80" s="220"/>
      <c r="T80" s="221" t="s">
        <v>30</v>
      </c>
      <c r="U80" s="220"/>
      <c r="V80" s="450"/>
      <c r="W80" s="450"/>
      <c r="X80" s="448"/>
      <c r="Y80" s="448"/>
      <c r="Z80" s="448"/>
      <c r="AA80" s="448"/>
      <c r="AB80" s="448"/>
      <c r="AC80" s="448"/>
      <c r="AD80" s="448"/>
      <c r="AE80" s="444"/>
      <c r="AF80" s="444"/>
      <c r="AG80" s="444"/>
      <c r="AH80" s="444"/>
      <c r="AI80" s="444"/>
      <c r="AJ80" s="444"/>
      <c r="AK80" s="444"/>
      <c r="AL80" s="444"/>
      <c r="AM80" s="444"/>
      <c r="AN80" s="444"/>
      <c r="AO80" s="444"/>
      <c r="AP80" s="444"/>
    </row>
    <row r="81" spans="1:45" ht="20.100000000000001" customHeight="1" x14ac:dyDescent="0.4">
      <c r="B81" s="472">
        <v>4</v>
      </c>
      <c r="C81" s="449">
        <v>0.45833333333333331</v>
      </c>
      <c r="D81" s="449">
        <v>0.4375</v>
      </c>
      <c r="E81" s="449"/>
      <c r="F81" s="443"/>
      <c r="G81" s="444"/>
      <c r="H81" s="444"/>
      <c r="I81" s="444"/>
      <c r="J81" s="445" t="str">
        <f t="shared" ref="J81" si="36">IFERROR(VLOOKUP(AR81,$C$67:$N$72,3,0),"")&amp;IFERROR(VLOOKUP(AR81,$Q$67:$AB$72,3,0),"")&amp;IFERROR(VLOOKUP(AR81,$AE$67:$AP$72,3,0),"")</f>
        <v>Ｓ４スペランツァ</v>
      </c>
      <c r="K81" s="446"/>
      <c r="L81" s="446"/>
      <c r="M81" s="446"/>
      <c r="N81" s="446"/>
      <c r="O81" s="446"/>
      <c r="P81" s="446"/>
      <c r="Q81" s="450" t="str">
        <f t="shared" ref="Q81:Q85" si="37">IF(OR(S81="",S82=""),"",S81+S82)</f>
        <v/>
      </c>
      <c r="R81" s="450"/>
      <c r="S81" s="220"/>
      <c r="T81" s="221" t="s">
        <v>30</v>
      </c>
      <c r="U81" s="220"/>
      <c r="V81" s="450" t="str">
        <f t="shared" ref="V81:V85" si="38">IF(OR(U81="",U82=""),"",U81+U82)</f>
        <v/>
      </c>
      <c r="W81" s="450"/>
      <c r="X81" s="447" t="str">
        <f t="shared" ref="X81" si="39">IFERROR(VLOOKUP(AS81,$C$67:$N$72,3,0),"")&amp;IFERROR(VLOOKUP(AS81,$Q$67:$AB$72,3,0),"")&amp;IFERROR(VLOOKUP(AS81,$AE$67:$AP$72,3,0),"")</f>
        <v>カテット白沢ＳＳ</v>
      </c>
      <c r="Y81" s="448"/>
      <c r="Z81" s="448"/>
      <c r="AA81" s="448"/>
      <c r="AB81" s="448"/>
      <c r="AC81" s="448"/>
      <c r="AD81" s="448"/>
      <c r="AE81" s="443"/>
      <c r="AF81" s="444"/>
      <c r="AG81" s="444"/>
      <c r="AH81" s="444"/>
      <c r="AI81" s="450" t="str">
        <f t="shared" ref="AI81" ca="1" si="40">DBCS(INDIRECT("U12対戦スケジュール!e"&amp;((ROW()-1)/2+29)))</f>
        <v>Ｃ３／Ｃ４／Ｃ４／Ｃ３</v>
      </c>
      <c r="AJ81" s="444"/>
      <c r="AK81" s="444"/>
      <c r="AL81" s="444"/>
      <c r="AM81" s="444"/>
      <c r="AN81" s="444"/>
      <c r="AO81" s="444"/>
      <c r="AP81" s="444"/>
      <c r="AR81" s="56" t="s">
        <v>49</v>
      </c>
      <c r="AS81" s="56" t="s">
        <v>50</v>
      </c>
    </row>
    <row r="82" spans="1:45" ht="20.100000000000001" customHeight="1" x14ac:dyDescent="0.4">
      <c r="B82" s="472"/>
      <c r="C82" s="449"/>
      <c r="D82" s="449"/>
      <c r="E82" s="449"/>
      <c r="F82" s="444"/>
      <c r="G82" s="444"/>
      <c r="H82" s="444"/>
      <c r="I82" s="444"/>
      <c r="J82" s="446"/>
      <c r="K82" s="446"/>
      <c r="L82" s="446"/>
      <c r="M82" s="446"/>
      <c r="N82" s="446"/>
      <c r="O82" s="446"/>
      <c r="P82" s="446"/>
      <c r="Q82" s="450"/>
      <c r="R82" s="450"/>
      <c r="S82" s="220"/>
      <c r="T82" s="221" t="s">
        <v>30</v>
      </c>
      <c r="U82" s="220"/>
      <c r="V82" s="450"/>
      <c r="W82" s="450"/>
      <c r="X82" s="448"/>
      <c r="Y82" s="448"/>
      <c r="Z82" s="448"/>
      <c r="AA82" s="448"/>
      <c r="AB82" s="448"/>
      <c r="AC82" s="448"/>
      <c r="AD82" s="448"/>
      <c r="AE82" s="444"/>
      <c r="AF82" s="444"/>
      <c r="AG82" s="444"/>
      <c r="AH82" s="444"/>
      <c r="AI82" s="444"/>
      <c r="AJ82" s="444"/>
      <c r="AK82" s="444"/>
      <c r="AL82" s="444"/>
      <c r="AM82" s="444"/>
      <c r="AN82" s="444"/>
      <c r="AO82" s="444"/>
      <c r="AP82" s="444"/>
    </row>
    <row r="83" spans="1:45" ht="20.100000000000001" customHeight="1" x14ac:dyDescent="0.4">
      <c r="B83" s="472">
        <v>5</v>
      </c>
      <c r="C83" s="449">
        <v>0.4861111111111111</v>
      </c>
      <c r="D83" s="449"/>
      <c r="E83" s="449"/>
      <c r="F83" s="443"/>
      <c r="G83" s="444"/>
      <c r="H83" s="444"/>
      <c r="I83" s="444"/>
      <c r="J83" s="445" t="str">
        <f t="shared" ref="J83" si="41">IFERROR(VLOOKUP(AR83,$C$67:$N$72,3,0),"")&amp;IFERROR(VLOOKUP(AR83,$Q$67:$AB$72,3,0),"")&amp;IFERROR(VLOOKUP(AR83,$AE$67:$AP$72,3,0),"")</f>
        <v>ＦＣ Ｒｉｓｏ</v>
      </c>
      <c r="K83" s="446"/>
      <c r="L83" s="446"/>
      <c r="M83" s="446"/>
      <c r="N83" s="446"/>
      <c r="O83" s="446"/>
      <c r="P83" s="446"/>
      <c r="Q83" s="450" t="str">
        <f t="shared" si="37"/>
        <v/>
      </c>
      <c r="R83" s="450"/>
      <c r="S83" s="220"/>
      <c r="T83" s="221" t="s">
        <v>30</v>
      </c>
      <c r="U83" s="220"/>
      <c r="V83" s="450" t="str">
        <f t="shared" si="38"/>
        <v/>
      </c>
      <c r="W83" s="450"/>
      <c r="X83" s="447" t="str">
        <f t="shared" ref="X83" si="42">IFERROR(VLOOKUP(AS83,$C$67:$N$72,3,0),"")&amp;IFERROR(VLOOKUP(AS83,$Q$67:$AB$72,3,0),"")&amp;IFERROR(VLOOKUP(AS83,$AE$67:$AP$72,3,0),"")</f>
        <v>ＦＣブロケード</v>
      </c>
      <c r="Y83" s="448"/>
      <c r="Z83" s="448"/>
      <c r="AA83" s="448"/>
      <c r="AB83" s="448"/>
      <c r="AC83" s="448"/>
      <c r="AD83" s="448"/>
      <c r="AE83" s="443"/>
      <c r="AF83" s="444"/>
      <c r="AG83" s="444"/>
      <c r="AH83" s="444"/>
      <c r="AI83" s="450" t="str">
        <f t="shared" ref="AI83" ca="1" si="43">DBCS(INDIRECT("U12対戦スケジュール!e"&amp;((ROW()-1)/2+29)))</f>
        <v>Ｄ８／Ｄ３／Ｄ３／Ｄ８</v>
      </c>
      <c r="AJ83" s="444"/>
      <c r="AK83" s="444"/>
      <c r="AL83" s="444"/>
      <c r="AM83" s="444"/>
      <c r="AN83" s="444"/>
      <c r="AO83" s="444"/>
      <c r="AP83" s="444"/>
      <c r="AR83" s="56" t="s">
        <v>45</v>
      </c>
      <c r="AS83" s="56" t="s">
        <v>40</v>
      </c>
    </row>
    <row r="84" spans="1:45" ht="20.100000000000001" customHeight="1" x14ac:dyDescent="0.4">
      <c r="B84" s="472"/>
      <c r="C84" s="449"/>
      <c r="D84" s="449"/>
      <c r="E84" s="449"/>
      <c r="F84" s="444"/>
      <c r="G84" s="444"/>
      <c r="H84" s="444"/>
      <c r="I84" s="444"/>
      <c r="J84" s="446"/>
      <c r="K84" s="446"/>
      <c r="L84" s="446"/>
      <c r="M84" s="446"/>
      <c r="N84" s="446"/>
      <c r="O84" s="446"/>
      <c r="P84" s="446"/>
      <c r="Q84" s="450"/>
      <c r="R84" s="450"/>
      <c r="S84" s="220"/>
      <c r="T84" s="221" t="s">
        <v>30</v>
      </c>
      <c r="U84" s="220"/>
      <c r="V84" s="450"/>
      <c r="W84" s="450"/>
      <c r="X84" s="448"/>
      <c r="Y84" s="448"/>
      <c r="Z84" s="448"/>
      <c r="AA84" s="448"/>
      <c r="AB84" s="448"/>
      <c r="AC84" s="448"/>
      <c r="AD84" s="448"/>
      <c r="AE84" s="444"/>
      <c r="AF84" s="444"/>
      <c r="AG84" s="444"/>
      <c r="AH84" s="444"/>
      <c r="AI84" s="444"/>
      <c r="AJ84" s="444"/>
      <c r="AK84" s="444"/>
      <c r="AL84" s="444"/>
      <c r="AM84" s="444"/>
      <c r="AN84" s="444"/>
      <c r="AO84" s="444"/>
      <c r="AP84" s="444"/>
    </row>
    <row r="85" spans="1:45" ht="20.100000000000001" customHeight="1" x14ac:dyDescent="0.4">
      <c r="B85" s="472">
        <v>6</v>
      </c>
      <c r="C85" s="449">
        <v>0.51388888888888895</v>
      </c>
      <c r="D85" s="449">
        <v>0.4375</v>
      </c>
      <c r="E85" s="449"/>
      <c r="F85" s="443"/>
      <c r="G85" s="444"/>
      <c r="H85" s="444"/>
      <c r="I85" s="444"/>
      <c r="J85" s="445" t="str">
        <f t="shared" ref="J85" si="44">IFERROR(VLOOKUP(AR85,$C$67:$N$72,3,0),"")&amp;IFERROR(VLOOKUP(AR85,$Q$67:$AB$72,3,0),"")&amp;IFERROR(VLOOKUP(AR85,$AE$67:$AP$72,3,0),"")</f>
        <v>上河内ＪＳＣ</v>
      </c>
      <c r="K85" s="446"/>
      <c r="L85" s="446"/>
      <c r="M85" s="446"/>
      <c r="N85" s="446"/>
      <c r="O85" s="446"/>
      <c r="P85" s="446"/>
      <c r="Q85" s="450" t="str">
        <f t="shared" si="37"/>
        <v/>
      </c>
      <c r="R85" s="450"/>
      <c r="S85" s="220"/>
      <c r="T85" s="221" t="s">
        <v>30</v>
      </c>
      <c r="U85" s="220"/>
      <c r="V85" s="450" t="str">
        <f t="shared" si="38"/>
        <v/>
      </c>
      <c r="W85" s="450"/>
      <c r="X85" s="447" t="str">
        <f t="shared" ref="X85" si="45">IFERROR(VLOOKUP(AS85,$C$67:$N$72,3,0),"")&amp;IFERROR(VLOOKUP(AS85,$Q$67:$AB$72,3,0),"")&amp;IFERROR(VLOOKUP(AS85,$AE$67:$AP$72,3,0),"")</f>
        <v>Ｓ４スペランツァ</v>
      </c>
      <c r="Y85" s="448"/>
      <c r="Z85" s="448"/>
      <c r="AA85" s="448"/>
      <c r="AB85" s="448"/>
      <c r="AC85" s="448"/>
      <c r="AD85" s="448"/>
      <c r="AE85" s="443"/>
      <c r="AF85" s="444"/>
      <c r="AG85" s="444"/>
      <c r="AH85" s="444"/>
      <c r="AI85" s="450" t="str">
        <f t="shared" ref="AI85" ca="1" si="46">DBCS(INDIRECT("U12対戦スケジュール!e"&amp;((ROW()-1)/2+29)))</f>
        <v>Ｃ８／Ｃ３／Ｃ３／Ｃ８</v>
      </c>
      <c r="AJ85" s="444"/>
      <c r="AK85" s="444"/>
      <c r="AL85" s="444"/>
      <c r="AM85" s="444"/>
      <c r="AN85" s="444"/>
      <c r="AO85" s="444"/>
      <c r="AP85" s="444"/>
      <c r="AR85" s="56" t="s">
        <v>54</v>
      </c>
      <c r="AS85" s="56" t="s">
        <v>49</v>
      </c>
    </row>
    <row r="86" spans="1:45" ht="20.100000000000001" customHeight="1" x14ac:dyDescent="0.4">
      <c r="B86" s="472"/>
      <c r="C86" s="449"/>
      <c r="D86" s="449"/>
      <c r="E86" s="449"/>
      <c r="F86" s="444"/>
      <c r="G86" s="444"/>
      <c r="H86" s="444"/>
      <c r="I86" s="444"/>
      <c r="J86" s="446"/>
      <c r="K86" s="446"/>
      <c r="L86" s="446"/>
      <c r="M86" s="446"/>
      <c r="N86" s="446"/>
      <c r="O86" s="446"/>
      <c r="P86" s="446"/>
      <c r="Q86" s="450"/>
      <c r="R86" s="450"/>
      <c r="S86" s="220"/>
      <c r="T86" s="221" t="s">
        <v>30</v>
      </c>
      <c r="U86" s="220"/>
      <c r="V86" s="450"/>
      <c r="W86" s="450"/>
      <c r="X86" s="448"/>
      <c r="Y86" s="448"/>
      <c r="Z86" s="448"/>
      <c r="AA86" s="448"/>
      <c r="AB86" s="448"/>
      <c r="AC86" s="448"/>
      <c r="AD86" s="448"/>
      <c r="AE86" s="444"/>
      <c r="AF86" s="444"/>
      <c r="AG86" s="444"/>
      <c r="AH86" s="444"/>
      <c r="AI86" s="444"/>
      <c r="AJ86" s="444"/>
      <c r="AK86" s="444"/>
      <c r="AL86" s="444"/>
      <c r="AM86" s="444"/>
      <c r="AN86" s="444"/>
      <c r="AO86" s="444"/>
      <c r="AP86" s="444"/>
    </row>
    <row r="87" spans="1:45" ht="20.100000000000001" hidden="1" customHeight="1" thickBot="1" x14ac:dyDescent="0.45">
      <c r="B87" s="573">
        <v>7</v>
      </c>
      <c r="C87" s="535">
        <v>0.58333333333333304</v>
      </c>
      <c r="D87" s="536"/>
      <c r="E87" s="537"/>
      <c r="F87" s="547"/>
      <c r="G87" s="548"/>
      <c r="H87" s="548"/>
      <c r="I87" s="549"/>
      <c r="J87" s="553" t="str">
        <f>IFERROR(VLOOKUP(AR87,$C$67:$N$72,3,0),"")&amp;IFERROR(VLOOKUP(AR87,$Q$67:$AB$72,3,0),"")&amp;IFERROR(VLOOKUP(AR87,$AE$67:$AP$72,3,0),"")</f>
        <v/>
      </c>
      <c r="K87" s="554"/>
      <c r="L87" s="554"/>
      <c r="M87" s="554"/>
      <c r="N87" s="554"/>
      <c r="O87" s="554"/>
      <c r="P87" s="555"/>
      <c r="Q87" s="563" t="str">
        <f>IF(OR(S87="",S88=""),"",S87+S88)</f>
        <v/>
      </c>
      <c r="R87" s="564"/>
      <c r="S87" s="228"/>
      <c r="T87" s="229" t="s">
        <v>30</v>
      </c>
      <c r="U87" s="228"/>
      <c r="V87" s="563" t="str">
        <f>IF(OR(U87="",U88=""),"",U87+U88)</f>
        <v/>
      </c>
      <c r="W87" s="564"/>
      <c r="X87" s="559" t="str">
        <f>IFERROR(VLOOKUP(AS87,$C$67:$N$72,3,0),"")&amp;IFERROR(VLOOKUP(AS87,$Q$67:$AB$72,3,0),"")&amp;IFERROR(VLOOKUP(AS87,$AE$67:$AP$72,3,0),"")</f>
        <v/>
      </c>
      <c r="Y87" s="554"/>
      <c r="Z87" s="554"/>
      <c r="AA87" s="554"/>
      <c r="AB87" s="554"/>
      <c r="AC87" s="554"/>
      <c r="AD87" s="560"/>
      <c r="AE87" s="547"/>
      <c r="AF87" s="548"/>
      <c r="AG87" s="548"/>
      <c r="AH87" s="549"/>
      <c r="AI87" s="567" t="str">
        <f ca="1">DBCS(INDIRECT("U12対戦スケジュール!e"&amp;((ROW()-1)/2+26)))</f>
        <v>Ｃ３／Ｃ４／Ｃ４／Ｃ３</v>
      </c>
      <c r="AJ87" s="568"/>
      <c r="AK87" s="568"/>
      <c r="AL87" s="568"/>
      <c r="AM87" s="568"/>
      <c r="AN87" s="568"/>
      <c r="AO87" s="568"/>
      <c r="AP87" s="569"/>
    </row>
    <row r="88" spans="1:45" ht="20.100000000000001" hidden="1" customHeight="1" thickBot="1" x14ac:dyDescent="0.45">
      <c r="B88" s="574"/>
      <c r="C88" s="538"/>
      <c r="D88" s="539"/>
      <c r="E88" s="540"/>
      <c r="F88" s="550"/>
      <c r="G88" s="551"/>
      <c r="H88" s="551"/>
      <c r="I88" s="552"/>
      <c r="J88" s="556"/>
      <c r="K88" s="557"/>
      <c r="L88" s="557"/>
      <c r="M88" s="557"/>
      <c r="N88" s="557"/>
      <c r="O88" s="557"/>
      <c r="P88" s="558"/>
      <c r="Q88" s="565"/>
      <c r="R88" s="566"/>
      <c r="S88" s="67"/>
      <c r="T88" s="131" t="s">
        <v>30</v>
      </c>
      <c r="U88" s="67"/>
      <c r="V88" s="565"/>
      <c r="W88" s="566"/>
      <c r="X88" s="561"/>
      <c r="Y88" s="557"/>
      <c r="Z88" s="557"/>
      <c r="AA88" s="557"/>
      <c r="AB88" s="557"/>
      <c r="AC88" s="557"/>
      <c r="AD88" s="562"/>
      <c r="AE88" s="550"/>
      <c r="AF88" s="551"/>
      <c r="AG88" s="551"/>
      <c r="AH88" s="552"/>
      <c r="AI88" s="570"/>
      <c r="AJ88" s="571"/>
      <c r="AK88" s="571"/>
      <c r="AL88" s="571"/>
      <c r="AM88" s="571"/>
      <c r="AN88" s="571"/>
      <c r="AO88" s="571"/>
      <c r="AP88" s="572"/>
    </row>
    <row r="89" spans="1:45" s="55" customFormat="1" ht="15.75" customHeight="1" x14ac:dyDescent="0.4">
      <c r="A89" s="58"/>
      <c r="B89" s="59"/>
      <c r="C89" s="60"/>
      <c r="D89" s="60"/>
      <c r="E89" s="60"/>
      <c r="F89" s="59"/>
      <c r="G89" s="59"/>
      <c r="H89" s="59"/>
      <c r="I89" s="59"/>
      <c r="J89" s="59"/>
      <c r="K89" s="61"/>
      <c r="L89" s="61"/>
      <c r="M89" s="62"/>
      <c r="N89" s="63"/>
      <c r="O89" s="62"/>
      <c r="P89" s="61"/>
      <c r="Q89" s="61"/>
      <c r="R89" s="59"/>
      <c r="S89" s="59"/>
      <c r="T89" s="59"/>
      <c r="U89" s="59"/>
      <c r="V89" s="59"/>
      <c r="W89" s="66"/>
      <c r="X89" s="66"/>
      <c r="Y89" s="66"/>
      <c r="Z89" s="66"/>
      <c r="AA89" s="66"/>
      <c r="AB89" s="66"/>
      <c r="AC89" s="58"/>
    </row>
    <row r="90" spans="1:45" ht="20.25" customHeight="1" x14ac:dyDescent="0.4">
      <c r="D90" s="477" t="s">
        <v>31</v>
      </c>
      <c r="E90" s="477"/>
      <c r="F90" s="477"/>
      <c r="G90" s="477"/>
      <c r="H90" s="477"/>
      <c r="I90" s="477"/>
      <c r="J90" s="477" t="s">
        <v>27</v>
      </c>
      <c r="K90" s="477"/>
      <c r="L90" s="477"/>
      <c r="M90" s="477"/>
      <c r="N90" s="477"/>
      <c r="O90" s="477"/>
      <c r="P90" s="477"/>
      <c r="Q90" s="477"/>
      <c r="R90" s="478" t="s">
        <v>32</v>
      </c>
      <c r="S90" s="478"/>
      <c r="T90" s="478"/>
      <c r="U90" s="478"/>
      <c r="V90" s="478"/>
      <c r="W90" s="478"/>
      <c r="X90" s="478"/>
      <c r="Y90" s="478"/>
      <c r="Z90" s="478"/>
      <c r="AA90" s="479" t="s">
        <v>33</v>
      </c>
      <c r="AB90" s="479"/>
      <c r="AC90" s="479"/>
      <c r="AD90" s="479" t="s">
        <v>34</v>
      </c>
      <c r="AE90" s="479"/>
      <c r="AF90" s="479"/>
      <c r="AG90" s="479"/>
      <c r="AH90" s="479"/>
      <c r="AI90" s="479"/>
      <c r="AJ90" s="479"/>
      <c r="AK90" s="479"/>
      <c r="AL90" s="479"/>
      <c r="AM90" s="479"/>
    </row>
    <row r="91" spans="1:45" ht="30" customHeight="1" x14ac:dyDescent="0.4">
      <c r="D91" s="477" t="s">
        <v>35</v>
      </c>
      <c r="E91" s="477"/>
      <c r="F91" s="477"/>
      <c r="G91" s="477"/>
      <c r="H91" s="477"/>
      <c r="I91" s="477"/>
      <c r="J91" s="477"/>
      <c r="K91" s="477"/>
      <c r="L91" s="477"/>
      <c r="M91" s="477"/>
      <c r="N91" s="477"/>
      <c r="O91" s="477"/>
      <c r="P91" s="477"/>
      <c r="Q91" s="477"/>
      <c r="R91" s="478"/>
      <c r="S91" s="478"/>
      <c r="T91" s="478"/>
      <c r="U91" s="478"/>
      <c r="V91" s="478"/>
      <c r="W91" s="478"/>
      <c r="X91" s="478"/>
      <c r="Y91" s="478"/>
      <c r="Z91" s="478"/>
      <c r="AA91" s="478"/>
      <c r="AB91" s="478"/>
      <c r="AC91" s="478"/>
      <c r="AD91" s="480"/>
      <c r="AE91" s="480"/>
      <c r="AF91" s="480"/>
      <c r="AG91" s="480"/>
      <c r="AH91" s="480"/>
      <c r="AI91" s="480"/>
      <c r="AJ91" s="480"/>
      <c r="AK91" s="480"/>
      <c r="AL91" s="480"/>
      <c r="AM91" s="480"/>
    </row>
    <row r="92" spans="1:45" ht="30" customHeight="1" x14ac:dyDescent="0.4">
      <c r="D92" s="477" t="s">
        <v>35</v>
      </c>
      <c r="E92" s="477"/>
      <c r="F92" s="477"/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77"/>
      <c r="R92" s="478"/>
      <c r="S92" s="478"/>
      <c r="T92" s="478"/>
      <c r="U92" s="478"/>
      <c r="V92" s="478"/>
      <c r="W92" s="478"/>
      <c r="X92" s="478"/>
      <c r="Y92" s="478"/>
      <c r="Z92" s="478"/>
      <c r="AA92" s="478"/>
      <c r="AB92" s="478"/>
      <c r="AC92" s="478"/>
      <c r="AD92" s="480"/>
      <c r="AE92" s="480"/>
      <c r="AF92" s="480"/>
      <c r="AG92" s="480"/>
      <c r="AH92" s="480"/>
      <c r="AI92" s="480"/>
      <c r="AJ92" s="480"/>
      <c r="AK92" s="480"/>
      <c r="AL92" s="480"/>
      <c r="AM92" s="480"/>
    </row>
    <row r="93" spans="1:45" ht="30" customHeight="1" x14ac:dyDescent="0.4">
      <c r="D93" s="477" t="s">
        <v>35</v>
      </c>
      <c r="E93" s="477"/>
      <c r="F93" s="477"/>
      <c r="G93" s="477"/>
      <c r="H93" s="477"/>
      <c r="I93" s="477"/>
      <c r="J93" s="477"/>
      <c r="K93" s="477"/>
      <c r="L93" s="477"/>
      <c r="M93" s="477"/>
      <c r="N93" s="477"/>
      <c r="O93" s="477"/>
      <c r="P93" s="477"/>
      <c r="Q93" s="477"/>
      <c r="R93" s="478"/>
      <c r="S93" s="478"/>
      <c r="T93" s="478"/>
      <c r="U93" s="478"/>
      <c r="V93" s="478"/>
      <c r="W93" s="478"/>
      <c r="X93" s="478"/>
      <c r="Y93" s="478"/>
      <c r="Z93" s="478"/>
      <c r="AA93" s="479"/>
      <c r="AB93" s="479"/>
      <c r="AC93" s="479"/>
      <c r="AD93" s="480"/>
      <c r="AE93" s="480"/>
      <c r="AF93" s="480"/>
      <c r="AG93" s="480"/>
      <c r="AH93" s="480"/>
      <c r="AI93" s="480"/>
      <c r="AJ93" s="480"/>
      <c r="AK93" s="480"/>
      <c r="AL93" s="480"/>
      <c r="AM93" s="480"/>
    </row>
    <row r="94" spans="1:45" ht="14.25" customHeight="1" x14ac:dyDescent="0.4">
      <c r="A94" s="451" t="s">
        <v>548</v>
      </c>
      <c r="B94" s="451"/>
      <c r="C94" s="451"/>
      <c r="D94" s="451"/>
      <c r="E94" s="451"/>
      <c r="F94" s="451"/>
      <c r="G94" s="451"/>
      <c r="H94" s="451"/>
      <c r="I94" s="451"/>
      <c r="J94" s="451"/>
      <c r="K94" s="451"/>
      <c r="L94" s="451"/>
      <c r="M94" s="451"/>
      <c r="N94" s="451"/>
      <c r="O94" s="451"/>
      <c r="P94" s="451"/>
      <c r="Q94" s="451"/>
      <c r="R94" s="451"/>
      <c r="S94" s="451"/>
      <c r="T94" s="451"/>
      <c r="U94" s="451"/>
      <c r="V94" s="451"/>
      <c r="W94" s="451"/>
      <c r="X94" s="451"/>
      <c r="Y94" s="451"/>
      <c r="Z94" s="451"/>
      <c r="AA94" s="451"/>
      <c r="AB94" s="451"/>
      <c r="AC94" s="451"/>
      <c r="AD94" s="451"/>
      <c r="AE94" s="451"/>
      <c r="AF94" s="451"/>
      <c r="AG94" s="451"/>
      <c r="AH94" s="451"/>
      <c r="AI94" s="451"/>
      <c r="AJ94" s="451"/>
      <c r="AK94" s="451"/>
      <c r="AL94" s="451"/>
      <c r="AM94" s="451"/>
      <c r="AN94" s="451"/>
      <c r="AO94" s="451"/>
      <c r="AP94" s="451"/>
      <c r="AQ94" s="451"/>
    </row>
    <row r="95" spans="1:45" ht="14.25" customHeight="1" x14ac:dyDescent="0.4">
      <c r="A95" s="451"/>
      <c r="B95" s="451"/>
      <c r="C95" s="451"/>
      <c r="D95" s="451"/>
      <c r="E95" s="451"/>
      <c r="F95" s="451"/>
      <c r="G95" s="451"/>
      <c r="H95" s="451"/>
      <c r="I95" s="451"/>
      <c r="J95" s="451"/>
      <c r="K95" s="451"/>
      <c r="L95" s="451"/>
      <c r="M95" s="451"/>
      <c r="N95" s="451"/>
      <c r="O95" s="451"/>
      <c r="P95" s="451"/>
      <c r="Q95" s="451"/>
      <c r="R95" s="451"/>
      <c r="S95" s="451"/>
      <c r="T95" s="451"/>
      <c r="U95" s="451"/>
      <c r="V95" s="451"/>
      <c r="W95" s="451"/>
      <c r="X95" s="451"/>
      <c r="Y95" s="451"/>
      <c r="Z95" s="451"/>
      <c r="AA95" s="451"/>
      <c r="AB95" s="451"/>
      <c r="AC95" s="451"/>
      <c r="AD95" s="451"/>
      <c r="AE95" s="451"/>
      <c r="AF95" s="451"/>
      <c r="AG95" s="451"/>
      <c r="AH95" s="451"/>
      <c r="AI95" s="451"/>
      <c r="AJ95" s="451"/>
      <c r="AK95" s="451"/>
      <c r="AL95" s="451"/>
      <c r="AM95" s="451"/>
      <c r="AN95" s="451"/>
      <c r="AO95" s="451"/>
      <c r="AP95" s="451"/>
      <c r="AQ95" s="451"/>
    </row>
    <row r="96" spans="1:45" ht="27.75" customHeight="1" x14ac:dyDescent="0.4">
      <c r="C96" s="460" t="s">
        <v>8</v>
      </c>
      <c r="D96" s="460"/>
      <c r="E96" s="460"/>
      <c r="F96" s="460"/>
      <c r="G96" s="482" t="str">
        <f>U12対戦スケジュール!D86</f>
        <v>石井緑地 No.４</v>
      </c>
      <c r="H96" s="483"/>
      <c r="I96" s="483"/>
      <c r="J96" s="483"/>
      <c r="K96" s="483"/>
      <c r="L96" s="483"/>
      <c r="M96" s="483"/>
      <c r="N96" s="483"/>
      <c r="O96" s="483"/>
      <c r="P96" s="460" t="s">
        <v>0</v>
      </c>
      <c r="Q96" s="460"/>
      <c r="R96" s="460"/>
      <c r="S96" s="460"/>
      <c r="T96" s="482" t="str">
        <f>U12対戦スケジュール!D87</f>
        <v>ＦＣブロケード</v>
      </c>
      <c r="U96" s="483"/>
      <c r="V96" s="483"/>
      <c r="W96" s="483"/>
      <c r="X96" s="483"/>
      <c r="Y96" s="483"/>
      <c r="Z96" s="483"/>
      <c r="AA96" s="483"/>
      <c r="AB96" s="483"/>
      <c r="AC96" s="460" t="s">
        <v>9</v>
      </c>
      <c r="AD96" s="460"/>
      <c r="AE96" s="460"/>
      <c r="AF96" s="460"/>
      <c r="AG96" s="484">
        <f>U12組合せ!$B44</f>
        <v>43752</v>
      </c>
      <c r="AH96" s="485"/>
      <c r="AI96" s="485"/>
      <c r="AJ96" s="485"/>
      <c r="AK96" s="485"/>
      <c r="AL96" s="485"/>
      <c r="AM96" s="488" t="str">
        <f>"（"&amp;TEXT(AG96,"aaa")&amp;"）"</f>
        <v>（月）</v>
      </c>
      <c r="AN96" s="488"/>
      <c r="AO96" s="489"/>
    </row>
    <row r="97" spans="2:45" ht="15" customHeight="1" x14ac:dyDescent="0.4"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64"/>
      <c r="X97" s="64"/>
      <c r="Y97" s="64"/>
      <c r="Z97" s="64"/>
      <c r="AA97" s="64"/>
      <c r="AB97" s="64"/>
      <c r="AC97" s="64"/>
    </row>
    <row r="98" spans="2:45" ht="18" customHeight="1" x14ac:dyDescent="0.4">
      <c r="C98" s="475" t="s">
        <v>38</v>
      </c>
      <c r="D98" s="475"/>
      <c r="E98" s="476" t="str">
        <f>U12組合せ!$H$14</f>
        <v>清原ＳＳＳ</v>
      </c>
      <c r="F98" s="476"/>
      <c r="G98" s="476"/>
      <c r="H98" s="476"/>
      <c r="I98" s="476"/>
      <c r="J98" s="476"/>
      <c r="K98" s="476"/>
      <c r="L98" s="476"/>
      <c r="M98" s="476"/>
      <c r="N98" s="476"/>
      <c r="O98" s="58"/>
      <c r="P98" s="58"/>
      <c r="Q98" s="475" t="s">
        <v>39</v>
      </c>
      <c r="R98" s="475"/>
      <c r="S98" s="476" t="str">
        <f>U12組合せ!$H$15</f>
        <v>ＦＣグランディール</v>
      </c>
      <c r="T98" s="476"/>
      <c r="U98" s="476"/>
      <c r="V98" s="476"/>
      <c r="W98" s="476"/>
      <c r="X98" s="476"/>
      <c r="Y98" s="476"/>
      <c r="Z98" s="476"/>
      <c r="AA98" s="476"/>
      <c r="AB98" s="476"/>
      <c r="AC98" s="68"/>
      <c r="AD98" s="55"/>
      <c r="AE98" s="475" t="s">
        <v>40</v>
      </c>
      <c r="AF98" s="475"/>
      <c r="AG98" s="476" t="str">
        <f>U12組合せ!$H$16</f>
        <v>ＦＣブロケード</v>
      </c>
      <c r="AH98" s="476"/>
      <c r="AI98" s="476"/>
      <c r="AJ98" s="476"/>
      <c r="AK98" s="476"/>
      <c r="AL98" s="476"/>
      <c r="AM98" s="476"/>
      <c r="AN98" s="476"/>
      <c r="AO98" s="476"/>
      <c r="AP98" s="476"/>
    </row>
    <row r="99" spans="2:45" ht="18" customHeight="1" x14ac:dyDescent="0.4">
      <c r="C99" s="475" t="s">
        <v>41</v>
      </c>
      <c r="D99" s="475"/>
      <c r="E99" s="476" t="str">
        <f>U12組合せ!$H$17</f>
        <v>緑が丘ＹＦＣ</v>
      </c>
      <c r="F99" s="476"/>
      <c r="G99" s="476"/>
      <c r="H99" s="476"/>
      <c r="I99" s="476"/>
      <c r="J99" s="476"/>
      <c r="K99" s="476"/>
      <c r="L99" s="476"/>
      <c r="M99" s="476"/>
      <c r="N99" s="476"/>
      <c r="O99" s="58"/>
      <c r="P99" s="58"/>
      <c r="Q99" s="475" t="s">
        <v>42</v>
      </c>
      <c r="R99" s="475"/>
      <c r="S99" s="476" t="str">
        <f>U12組合せ!$H$18</f>
        <v>ともぞうＳＣ U12</v>
      </c>
      <c r="T99" s="476"/>
      <c r="U99" s="476"/>
      <c r="V99" s="476"/>
      <c r="W99" s="476"/>
      <c r="X99" s="476"/>
      <c r="Y99" s="476"/>
      <c r="Z99" s="476"/>
      <c r="AA99" s="476"/>
      <c r="AB99" s="476"/>
      <c r="AC99" s="68"/>
      <c r="AD99" s="55"/>
      <c r="AE99" s="475" t="s">
        <v>43</v>
      </c>
      <c r="AF99" s="475"/>
      <c r="AG99" s="476" t="str">
        <f>U12組合せ!$H$19</f>
        <v>ＦＣアネーロ･U-12</v>
      </c>
      <c r="AH99" s="476"/>
      <c r="AI99" s="476"/>
      <c r="AJ99" s="476"/>
      <c r="AK99" s="476"/>
      <c r="AL99" s="476"/>
      <c r="AM99" s="476"/>
      <c r="AN99" s="476"/>
      <c r="AO99" s="476"/>
      <c r="AP99" s="476"/>
    </row>
    <row r="100" spans="2:45" ht="18" customHeight="1" thickBot="1" x14ac:dyDescent="0.45">
      <c r="C100" s="577" t="s">
        <v>44</v>
      </c>
      <c r="D100" s="577"/>
      <c r="E100" s="578" t="str">
        <f>U12組合せ!$H$20</f>
        <v>細谷サッカークラブ</v>
      </c>
      <c r="F100" s="578"/>
      <c r="G100" s="578"/>
      <c r="H100" s="578"/>
      <c r="I100" s="578"/>
      <c r="J100" s="578"/>
      <c r="K100" s="578"/>
      <c r="L100" s="578"/>
      <c r="M100" s="578"/>
      <c r="N100" s="578"/>
      <c r="O100" s="58"/>
      <c r="P100" s="58"/>
      <c r="Q100" s="577" t="s">
        <v>45</v>
      </c>
      <c r="R100" s="577"/>
      <c r="S100" s="578" t="str">
        <f>U12組合せ!$H$21</f>
        <v>ＦＣ Ｒｉｓｏ</v>
      </c>
      <c r="T100" s="578"/>
      <c r="U100" s="578"/>
      <c r="V100" s="578"/>
      <c r="W100" s="578"/>
      <c r="X100" s="578"/>
      <c r="Y100" s="578"/>
      <c r="Z100" s="578"/>
      <c r="AA100" s="578"/>
      <c r="AB100" s="578"/>
      <c r="AC100" s="68"/>
      <c r="AD100" s="55"/>
      <c r="AE100" s="577" t="s">
        <v>46</v>
      </c>
      <c r="AF100" s="577"/>
      <c r="AG100" s="578" t="str">
        <f>U12組合せ!$H$22</f>
        <v>上三川ＦＣ</v>
      </c>
      <c r="AH100" s="578"/>
      <c r="AI100" s="578"/>
      <c r="AJ100" s="578"/>
      <c r="AK100" s="578"/>
      <c r="AL100" s="578"/>
      <c r="AM100" s="578"/>
      <c r="AN100" s="578"/>
      <c r="AO100" s="578"/>
      <c r="AP100" s="578"/>
    </row>
    <row r="101" spans="2:45" ht="18" customHeight="1" x14ac:dyDescent="0.4">
      <c r="C101" s="579" t="s">
        <v>47</v>
      </c>
      <c r="D101" s="579"/>
      <c r="E101" s="580" t="str">
        <f>U12組合せ!$J$14</f>
        <v>本郷北ＦＣ</v>
      </c>
      <c r="F101" s="580"/>
      <c r="G101" s="580"/>
      <c r="H101" s="580"/>
      <c r="I101" s="580"/>
      <c r="J101" s="580"/>
      <c r="K101" s="580"/>
      <c r="L101" s="580"/>
      <c r="M101" s="580"/>
      <c r="N101" s="580"/>
      <c r="O101" s="58"/>
      <c r="P101" s="58"/>
      <c r="Q101" s="579" t="s">
        <v>48</v>
      </c>
      <c r="R101" s="579"/>
      <c r="S101" s="580" t="str">
        <f>U12組合せ!$J$15</f>
        <v>みはらＳＣjr</v>
      </c>
      <c r="T101" s="580"/>
      <c r="U101" s="580"/>
      <c r="V101" s="580"/>
      <c r="W101" s="580"/>
      <c r="X101" s="580"/>
      <c r="Y101" s="580"/>
      <c r="Z101" s="580"/>
      <c r="AA101" s="580"/>
      <c r="AB101" s="580"/>
      <c r="AC101" s="68"/>
      <c r="AD101" s="55"/>
      <c r="AE101" s="579" t="s">
        <v>49</v>
      </c>
      <c r="AF101" s="579"/>
      <c r="AG101" s="580" t="str">
        <f>U12組合せ!$J$16</f>
        <v>Ｓ４スペランツァ</v>
      </c>
      <c r="AH101" s="580"/>
      <c r="AI101" s="580"/>
      <c r="AJ101" s="580"/>
      <c r="AK101" s="580"/>
      <c r="AL101" s="580"/>
      <c r="AM101" s="580"/>
      <c r="AN101" s="580"/>
      <c r="AO101" s="580"/>
      <c r="AP101" s="580"/>
    </row>
    <row r="102" spans="2:45" ht="18" customHeight="1" x14ac:dyDescent="0.4">
      <c r="B102" s="57"/>
      <c r="C102" s="475" t="s">
        <v>50</v>
      </c>
      <c r="D102" s="475"/>
      <c r="E102" s="476" t="str">
        <f>U12組合せ!$J$17</f>
        <v>カテット白沢ＳＳ</v>
      </c>
      <c r="F102" s="476"/>
      <c r="G102" s="476"/>
      <c r="H102" s="476"/>
      <c r="I102" s="476"/>
      <c r="J102" s="476"/>
      <c r="K102" s="476"/>
      <c r="L102" s="476"/>
      <c r="M102" s="476"/>
      <c r="N102" s="476"/>
      <c r="O102" s="58"/>
      <c r="P102" s="58"/>
      <c r="Q102" s="475" t="s">
        <v>51</v>
      </c>
      <c r="R102" s="475"/>
      <c r="S102" s="476" t="str">
        <f>U12組合せ!$J$18</f>
        <v>雀宮ＦＣ</v>
      </c>
      <c r="T102" s="476"/>
      <c r="U102" s="476"/>
      <c r="V102" s="476"/>
      <c r="W102" s="476"/>
      <c r="X102" s="476"/>
      <c r="Y102" s="476"/>
      <c r="Z102" s="476"/>
      <c r="AA102" s="476"/>
      <c r="AB102" s="476"/>
      <c r="AC102" s="68"/>
      <c r="AD102" s="55"/>
      <c r="AE102" s="475" t="s">
        <v>52</v>
      </c>
      <c r="AF102" s="475"/>
      <c r="AG102" s="476" t="str">
        <f>U12組合せ!$J$19</f>
        <v>富士見ＳＳＳ</v>
      </c>
      <c r="AH102" s="476"/>
      <c r="AI102" s="476"/>
      <c r="AJ102" s="476"/>
      <c r="AK102" s="476"/>
      <c r="AL102" s="476"/>
      <c r="AM102" s="476"/>
      <c r="AN102" s="476"/>
      <c r="AO102" s="476"/>
      <c r="AP102" s="476"/>
      <c r="AQ102" s="57"/>
    </row>
    <row r="103" spans="2:45" ht="18" customHeight="1" x14ac:dyDescent="0.4">
      <c r="C103" s="475" t="s">
        <v>53</v>
      </c>
      <c r="D103" s="475"/>
      <c r="E103" s="476" t="str">
        <f>U12組合せ!$J$20</f>
        <v>ＦＣみらいＶ</v>
      </c>
      <c r="F103" s="476"/>
      <c r="G103" s="476"/>
      <c r="H103" s="476"/>
      <c r="I103" s="476"/>
      <c r="J103" s="476"/>
      <c r="K103" s="476"/>
      <c r="L103" s="476"/>
      <c r="M103" s="476"/>
      <c r="N103" s="476"/>
      <c r="O103" s="58"/>
      <c r="P103" s="58"/>
      <c r="Q103" s="475" t="s">
        <v>54</v>
      </c>
      <c r="R103" s="475"/>
      <c r="S103" s="476" t="str">
        <f>U12組合せ!$J$21</f>
        <v>上河内ＪＳＣ</v>
      </c>
      <c r="T103" s="476"/>
      <c r="U103" s="476"/>
      <c r="V103" s="476"/>
      <c r="W103" s="476"/>
      <c r="X103" s="476"/>
      <c r="Y103" s="476"/>
      <c r="Z103" s="476"/>
      <c r="AA103" s="476"/>
      <c r="AB103" s="476"/>
      <c r="AC103" s="68"/>
      <c r="AD103" s="55"/>
      <c r="AE103" s="475" t="s">
        <v>55</v>
      </c>
      <c r="AF103" s="475"/>
      <c r="AG103" s="476" t="str">
        <f>U12組合せ!$J$22</f>
        <v>ジュベニール</v>
      </c>
      <c r="AH103" s="476"/>
      <c r="AI103" s="476"/>
      <c r="AJ103" s="476"/>
      <c r="AK103" s="476"/>
      <c r="AL103" s="476"/>
      <c r="AM103" s="476"/>
      <c r="AN103" s="476"/>
      <c r="AO103" s="476"/>
      <c r="AP103" s="476"/>
    </row>
    <row r="104" spans="2:45" ht="21" customHeight="1" x14ac:dyDescent="0.4">
      <c r="B104" s="56" t="s">
        <v>569</v>
      </c>
    </row>
    <row r="105" spans="2:45" ht="20.25" customHeight="1" x14ac:dyDescent="0.4">
      <c r="B105" s="219"/>
      <c r="C105" s="456" t="s">
        <v>25</v>
      </c>
      <c r="D105" s="456"/>
      <c r="E105" s="456"/>
      <c r="F105" s="458" t="s">
        <v>26</v>
      </c>
      <c r="G105" s="459"/>
      <c r="H105" s="459"/>
      <c r="I105" s="459"/>
      <c r="J105" s="456" t="s">
        <v>27</v>
      </c>
      <c r="K105" s="457"/>
      <c r="L105" s="457"/>
      <c r="M105" s="457"/>
      <c r="N105" s="457"/>
      <c r="O105" s="457"/>
      <c r="P105" s="457"/>
      <c r="Q105" s="456" t="s">
        <v>540</v>
      </c>
      <c r="R105" s="456"/>
      <c r="S105" s="456"/>
      <c r="T105" s="456"/>
      <c r="U105" s="456"/>
      <c r="V105" s="456"/>
      <c r="W105" s="456"/>
      <c r="X105" s="456" t="s">
        <v>27</v>
      </c>
      <c r="Y105" s="457"/>
      <c r="Z105" s="457"/>
      <c r="AA105" s="457"/>
      <c r="AB105" s="457"/>
      <c r="AC105" s="457"/>
      <c r="AD105" s="457"/>
      <c r="AE105" s="458" t="s">
        <v>26</v>
      </c>
      <c r="AF105" s="459"/>
      <c r="AG105" s="459"/>
      <c r="AH105" s="459"/>
      <c r="AI105" s="456" t="s">
        <v>29</v>
      </c>
      <c r="AJ105" s="456"/>
      <c r="AK105" s="457"/>
      <c r="AL105" s="457"/>
      <c r="AM105" s="457"/>
      <c r="AN105" s="457"/>
      <c r="AO105" s="457"/>
      <c r="AP105" s="457"/>
    </row>
    <row r="106" spans="2:45" ht="20.100000000000001" customHeight="1" x14ac:dyDescent="0.4">
      <c r="B106" s="472">
        <v>1</v>
      </c>
      <c r="C106" s="449">
        <v>0.375</v>
      </c>
      <c r="D106" s="449"/>
      <c r="E106" s="449"/>
      <c r="F106" s="443"/>
      <c r="G106" s="444"/>
      <c r="H106" s="444"/>
      <c r="I106" s="444"/>
      <c r="J106" s="445" t="str">
        <f>IFERROR(VLOOKUP(AR106,$C$98:$N$103,3,0),"")&amp;IFERROR(VLOOKUP(AR106,$Q$98:$AB$103,3,0),"")&amp;IFERROR(VLOOKUP(AR106,$AE$98:$AP$103,3,0),"")</f>
        <v>ＦＣブロケード</v>
      </c>
      <c r="K106" s="446"/>
      <c r="L106" s="446"/>
      <c r="M106" s="446"/>
      <c r="N106" s="446"/>
      <c r="O106" s="446"/>
      <c r="P106" s="446"/>
      <c r="Q106" s="450" t="str">
        <f t="shared" ref="Q106:Q110" si="47">IF(OR(S106="",S107=""),"",S106+S107)</f>
        <v/>
      </c>
      <c r="R106" s="450"/>
      <c r="S106" s="220"/>
      <c r="T106" s="221" t="s">
        <v>30</v>
      </c>
      <c r="U106" s="220"/>
      <c r="V106" s="450" t="str">
        <f t="shared" ref="V106:V110" si="48">IF(OR(U106="",U107=""),"",U106+U107)</f>
        <v/>
      </c>
      <c r="W106" s="450"/>
      <c r="X106" s="447" t="str">
        <f>IFERROR(VLOOKUP(AS106,$C$98:$N$103,3,0),"")&amp;IFERROR(VLOOKUP(AS106,$Q$98:$AB$103,3,0),"")&amp;IFERROR(VLOOKUP(AS106,$AE$98:$AP$103,3,0),"")</f>
        <v>ともぞうＳＣ U12</v>
      </c>
      <c r="Y106" s="448"/>
      <c r="Z106" s="448"/>
      <c r="AA106" s="448"/>
      <c r="AB106" s="448"/>
      <c r="AC106" s="448"/>
      <c r="AD106" s="448"/>
      <c r="AE106" s="443"/>
      <c r="AF106" s="444"/>
      <c r="AG106" s="444"/>
      <c r="AH106" s="444"/>
      <c r="AI106" s="450" t="str">
        <f ca="1">DBCS(INDIRECT("U12対戦スケジュール!e"&amp;(ROW()/2+35)))</f>
        <v>Ｄ３／Ｄ５／Ｄ５／Ｄ３</v>
      </c>
      <c r="AJ106" s="444"/>
      <c r="AK106" s="444"/>
      <c r="AL106" s="444"/>
      <c r="AM106" s="444"/>
      <c r="AN106" s="444"/>
      <c r="AO106" s="444"/>
      <c r="AP106" s="444"/>
      <c r="AR106" s="56" t="s">
        <v>289</v>
      </c>
      <c r="AS106" s="56" t="s">
        <v>290</v>
      </c>
    </row>
    <row r="107" spans="2:45" ht="20.100000000000001" customHeight="1" x14ac:dyDescent="0.4">
      <c r="B107" s="472"/>
      <c r="C107" s="449"/>
      <c r="D107" s="449"/>
      <c r="E107" s="449"/>
      <c r="F107" s="444"/>
      <c r="G107" s="444"/>
      <c r="H107" s="444"/>
      <c r="I107" s="444"/>
      <c r="J107" s="446"/>
      <c r="K107" s="446"/>
      <c r="L107" s="446"/>
      <c r="M107" s="446"/>
      <c r="N107" s="446"/>
      <c r="O107" s="446"/>
      <c r="P107" s="446"/>
      <c r="Q107" s="450"/>
      <c r="R107" s="450"/>
      <c r="S107" s="220"/>
      <c r="T107" s="221" t="s">
        <v>30</v>
      </c>
      <c r="U107" s="220"/>
      <c r="V107" s="450"/>
      <c r="W107" s="450"/>
      <c r="X107" s="448"/>
      <c r="Y107" s="448"/>
      <c r="Z107" s="448"/>
      <c r="AA107" s="448"/>
      <c r="AB107" s="448"/>
      <c r="AC107" s="448"/>
      <c r="AD107" s="448"/>
      <c r="AE107" s="444"/>
      <c r="AF107" s="444"/>
      <c r="AG107" s="444"/>
      <c r="AH107" s="444"/>
      <c r="AI107" s="444"/>
      <c r="AJ107" s="444"/>
      <c r="AK107" s="444"/>
      <c r="AL107" s="444"/>
      <c r="AM107" s="444"/>
      <c r="AN107" s="444"/>
      <c r="AO107" s="444"/>
      <c r="AP107" s="444"/>
    </row>
    <row r="108" spans="2:45" ht="20.100000000000001" customHeight="1" x14ac:dyDescent="0.4">
      <c r="B108" s="472">
        <v>2</v>
      </c>
      <c r="C108" s="449">
        <v>0.40277777777777773</v>
      </c>
      <c r="D108" s="449">
        <v>0.4375</v>
      </c>
      <c r="E108" s="449"/>
      <c r="F108" s="443"/>
      <c r="G108" s="444"/>
      <c r="H108" s="444"/>
      <c r="I108" s="444"/>
      <c r="J108" s="445" t="str">
        <f t="shared" ref="J108" si="49">IFERROR(VLOOKUP(AR108,$C$98:$N$103,3,0),"")&amp;IFERROR(VLOOKUP(AR108,$Q$98:$AB$103,3,0),"")&amp;IFERROR(VLOOKUP(AR108,$AE$98:$AP$103,3,0),"")</f>
        <v>Ｓ４スペランツァ</v>
      </c>
      <c r="K108" s="446"/>
      <c r="L108" s="446"/>
      <c r="M108" s="446"/>
      <c r="N108" s="446"/>
      <c r="O108" s="446"/>
      <c r="P108" s="446"/>
      <c r="Q108" s="450" t="str">
        <f t="shared" si="47"/>
        <v/>
      </c>
      <c r="R108" s="450"/>
      <c r="S108" s="220"/>
      <c r="T108" s="221" t="s">
        <v>30</v>
      </c>
      <c r="U108" s="220"/>
      <c r="V108" s="450" t="str">
        <f t="shared" si="48"/>
        <v/>
      </c>
      <c r="W108" s="450"/>
      <c r="X108" s="447" t="str">
        <f t="shared" ref="X108" si="50">IFERROR(VLOOKUP(AS108,$C$98:$N$103,3,0),"")&amp;IFERROR(VLOOKUP(AS108,$Q$98:$AB$103,3,0),"")&amp;IFERROR(VLOOKUP(AS108,$AE$98:$AP$103,3,0),"")</f>
        <v>雀宮ＦＣ</v>
      </c>
      <c r="Y108" s="448"/>
      <c r="Z108" s="448"/>
      <c r="AA108" s="448"/>
      <c r="AB108" s="448"/>
      <c r="AC108" s="448"/>
      <c r="AD108" s="448"/>
      <c r="AE108" s="443"/>
      <c r="AF108" s="444"/>
      <c r="AG108" s="444"/>
      <c r="AH108" s="444"/>
      <c r="AI108" s="450" t="str">
        <f t="shared" ref="AI108" ca="1" si="51">DBCS(INDIRECT("U12対戦スケジュール!e"&amp;(ROW()/2+35)))</f>
        <v>Ｃ３／Ｃ５／Ｃ５／Ｃ３</v>
      </c>
      <c r="AJ108" s="444"/>
      <c r="AK108" s="444"/>
      <c r="AL108" s="444"/>
      <c r="AM108" s="444"/>
      <c r="AN108" s="444"/>
      <c r="AO108" s="444"/>
      <c r="AP108" s="444"/>
      <c r="AR108" s="56" t="s">
        <v>586</v>
      </c>
      <c r="AS108" s="56" t="s">
        <v>585</v>
      </c>
    </row>
    <row r="109" spans="2:45" ht="20.100000000000001" customHeight="1" x14ac:dyDescent="0.4">
      <c r="B109" s="472"/>
      <c r="C109" s="449"/>
      <c r="D109" s="449"/>
      <c r="E109" s="449"/>
      <c r="F109" s="444"/>
      <c r="G109" s="444"/>
      <c r="H109" s="444"/>
      <c r="I109" s="444"/>
      <c r="J109" s="446"/>
      <c r="K109" s="446"/>
      <c r="L109" s="446"/>
      <c r="M109" s="446"/>
      <c r="N109" s="446"/>
      <c r="O109" s="446"/>
      <c r="P109" s="446"/>
      <c r="Q109" s="450"/>
      <c r="R109" s="450"/>
      <c r="S109" s="220"/>
      <c r="T109" s="221" t="s">
        <v>30</v>
      </c>
      <c r="U109" s="220"/>
      <c r="V109" s="450"/>
      <c r="W109" s="450"/>
      <c r="X109" s="448"/>
      <c r="Y109" s="448"/>
      <c r="Z109" s="448"/>
      <c r="AA109" s="448"/>
      <c r="AB109" s="448"/>
      <c r="AC109" s="448"/>
      <c r="AD109" s="448"/>
      <c r="AE109" s="444"/>
      <c r="AF109" s="444"/>
      <c r="AG109" s="444"/>
      <c r="AH109" s="444"/>
      <c r="AI109" s="444"/>
      <c r="AJ109" s="444"/>
      <c r="AK109" s="444"/>
      <c r="AL109" s="444"/>
      <c r="AM109" s="444"/>
      <c r="AN109" s="444"/>
      <c r="AO109" s="444"/>
      <c r="AP109" s="444"/>
    </row>
    <row r="110" spans="2:45" ht="20.100000000000001" customHeight="1" x14ac:dyDescent="0.4">
      <c r="B110" s="472">
        <v>3</v>
      </c>
      <c r="C110" s="449">
        <v>0.43055555555555558</v>
      </c>
      <c r="D110" s="449"/>
      <c r="E110" s="449"/>
      <c r="F110" s="443"/>
      <c r="G110" s="444"/>
      <c r="H110" s="444"/>
      <c r="I110" s="444"/>
      <c r="J110" s="445" t="str">
        <f t="shared" ref="J110" si="52">IFERROR(VLOOKUP(AR110,$C$98:$N$103,3,0),"")&amp;IFERROR(VLOOKUP(AR110,$Q$98:$AB$103,3,0),"")&amp;IFERROR(VLOOKUP(AR110,$AE$98:$AP$103,3,0),"")</f>
        <v>細谷サッカークラブ</v>
      </c>
      <c r="K110" s="446"/>
      <c r="L110" s="446"/>
      <c r="M110" s="446"/>
      <c r="N110" s="446"/>
      <c r="O110" s="446"/>
      <c r="P110" s="446"/>
      <c r="Q110" s="450" t="str">
        <f t="shared" si="47"/>
        <v/>
      </c>
      <c r="R110" s="450"/>
      <c r="S110" s="220"/>
      <c r="T110" s="221" t="s">
        <v>30</v>
      </c>
      <c r="U110" s="220"/>
      <c r="V110" s="450" t="str">
        <f t="shared" si="48"/>
        <v/>
      </c>
      <c r="W110" s="450"/>
      <c r="X110" s="447" t="str">
        <f t="shared" ref="X110" si="53">IFERROR(VLOOKUP(AS110,$C$98:$N$103,3,0),"")&amp;IFERROR(VLOOKUP(AS110,$Q$98:$AB$103,3,0),"")&amp;IFERROR(VLOOKUP(AS110,$AE$98:$AP$103,3,0),"")</f>
        <v>ＦＣブロケード</v>
      </c>
      <c r="Y110" s="448"/>
      <c r="Z110" s="448"/>
      <c r="AA110" s="448"/>
      <c r="AB110" s="448"/>
      <c r="AC110" s="448"/>
      <c r="AD110" s="448"/>
      <c r="AE110" s="443"/>
      <c r="AF110" s="444"/>
      <c r="AG110" s="444"/>
      <c r="AH110" s="444"/>
      <c r="AI110" s="450" t="str">
        <f t="shared" ref="AI110" ca="1" si="54">DBCS(INDIRECT("U12対戦スケジュール!e"&amp;(ROW()/2+35)))</f>
        <v>Ｄ７／Ｄ３／Ｄ３／Ｄ７</v>
      </c>
      <c r="AJ110" s="444"/>
      <c r="AK110" s="444"/>
      <c r="AL110" s="444"/>
      <c r="AM110" s="444"/>
      <c r="AN110" s="444"/>
      <c r="AO110" s="444"/>
      <c r="AP110" s="444"/>
      <c r="AR110" s="56" t="s">
        <v>291</v>
      </c>
      <c r="AS110" s="56" t="s">
        <v>289</v>
      </c>
    </row>
    <row r="111" spans="2:45" ht="20.100000000000001" customHeight="1" x14ac:dyDescent="0.4">
      <c r="B111" s="472"/>
      <c r="C111" s="449"/>
      <c r="D111" s="449"/>
      <c r="E111" s="449"/>
      <c r="F111" s="444"/>
      <c r="G111" s="444"/>
      <c r="H111" s="444"/>
      <c r="I111" s="444"/>
      <c r="J111" s="446"/>
      <c r="K111" s="446"/>
      <c r="L111" s="446"/>
      <c r="M111" s="446"/>
      <c r="N111" s="446"/>
      <c r="O111" s="446"/>
      <c r="P111" s="446"/>
      <c r="Q111" s="450"/>
      <c r="R111" s="450"/>
      <c r="S111" s="220"/>
      <c r="T111" s="221" t="s">
        <v>30</v>
      </c>
      <c r="U111" s="220"/>
      <c r="V111" s="450"/>
      <c r="W111" s="450"/>
      <c r="X111" s="448"/>
      <c r="Y111" s="448"/>
      <c r="Z111" s="448"/>
      <c r="AA111" s="448"/>
      <c r="AB111" s="448"/>
      <c r="AC111" s="448"/>
      <c r="AD111" s="448"/>
      <c r="AE111" s="444"/>
      <c r="AF111" s="444"/>
      <c r="AG111" s="444"/>
      <c r="AH111" s="444"/>
      <c r="AI111" s="444"/>
      <c r="AJ111" s="444"/>
      <c r="AK111" s="444"/>
      <c r="AL111" s="444"/>
      <c r="AM111" s="444"/>
      <c r="AN111" s="444"/>
      <c r="AO111" s="444"/>
      <c r="AP111" s="444"/>
    </row>
    <row r="112" spans="2:45" ht="20.100000000000001" customHeight="1" x14ac:dyDescent="0.4">
      <c r="B112" s="472">
        <v>4</v>
      </c>
      <c r="C112" s="449">
        <v>0.45833333333333331</v>
      </c>
      <c r="D112" s="449">
        <v>0.4375</v>
      </c>
      <c r="E112" s="449"/>
      <c r="F112" s="443"/>
      <c r="G112" s="444"/>
      <c r="H112" s="444"/>
      <c r="I112" s="444"/>
      <c r="J112" s="445" t="str">
        <f t="shared" ref="J112" si="55">IFERROR(VLOOKUP(AR112,$C$98:$N$103,3,0),"")&amp;IFERROR(VLOOKUP(AR112,$Q$98:$AB$103,3,0),"")&amp;IFERROR(VLOOKUP(AR112,$AE$98:$AP$103,3,0),"")</f>
        <v>ＦＣみらいＶ</v>
      </c>
      <c r="K112" s="446"/>
      <c r="L112" s="446"/>
      <c r="M112" s="446"/>
      <c r="N112" s="446"/>
      <c r="O112" s="446"/>
      <c r="P112" s="446"/>
      <c r="Q112" s="450" t="str">
        <f t="shared" ref="Q112:Q116" si="56">IF(OR(S112="",S113=""),"",S112+S113)</f>
        <v/>
      </c>
      <c r="R112" s="450"/>
      <c r="S112" s="220"/>
      <c r="T112" s="221" t="s">
        <v>30</v>
      </c>
      <c r="U112" s="220"/>
      <c r="V112" s="450" t="str">
        <f t="shared" ref="V112:V116" si="57">IF(OR(U112="",U113=""),"",U112+U113)</f>
        <v/>
      </c>
      <c r="W112" s="450"/>
      <c r="X112" s="447" t="str">
        <f t="shared" ref="X112" si="58">IFERROR(VLOOKUP(AS112,$C$98:$N$103,3,0),"")&amp;IFERROR(VLOOKUP(AS112,$Q$98:$AB$103,3,0),"")&amp;IFERROR(VLOOKUP(AS112,$AE$98:$AP$103,3,0),"")</f>
        <v>Ｓ４スペランツァ</v>
      </c>
      <c r="Y112" s="448"/>
      <c r="Z112" s="448"/>
      <c r="AA112" s="448"/>
      <c r="AB112" s="448"/>
      <c r="AC112" s="448"/>
      <c r="AD112" s="448"/>
      <c r="AE112" s="443"/>
      <c r="AF112" s="444"/>
      <c r="AG112" s="444"/>
      <c r="AH112" s="444"/>
      <c r="AI112" s="450" t="str">
        <f t="shared" ref="AI112" ca="1" si="59">DBCS(INDIRECT("U12対戦スケジュール!e"&amp;(ROW()/2+35)))</f>
        <v>Ｃ７／Ｃ３／Ｃ３／Ｃ７</v>
      </c>
      <c r="AJ112" s="444"/>
      <c r="AK112" s="444"/>
      <c r="AL112" s="444"/>
      <c r="AM112" s="444"/>
      <c r="AN112" s="444"/>
      <c r="AO112" s="444"/>
      <c r="AP112" s="444"/>
      <c r="AR112" s="56" t="s">
        <v>579</v>
      </c>
      <c r="AS112" s="56" t="s">
        <v>586</v>
      </c>
    </row>
    <row r="113" spans="1:45" ht="20.100000000000001" customHeight="1" x14ac:dyDescent="0.4">
      <c r="B113" s="472"/>
      <c r="C113" s="449"/>
      <c r="D113" s="449"/>
      <c r="E113" s="449"/>
      <c r="F113" s="444"/>
      <c r="G113" s="444"/>
      <c r="H113" s="444"/>
      <c r="I113" s="444"/>
      <c r="J113" s="446"/>
      <c r="K113" s="446"/>
      <c r="L113" s="446"/>
      <c r="M113" s="446"/>
      <c r="N113" s="446"/>
      <c r="O113" s="446"/>
      <c r="P113" s="446"/>
      <c r="Q113" s="450"/>
      <c r="R113" s="450"/>
      <c r="S113" s="220"/>
      <c r="T113" s="221" t="s">
        <v>30</v>
      </c>
      <c r="U113" s="220"/>
      <c r="V113" s="450"/>
      <c r="W113" s="450"/>
      <c r="X113" s="448"/>
      <c r="Y113" s="448"/>
      <c r="Z113" s="448"/>
      <c r="AA113" s="448"/>
      <c r="AB113" s="448"/>
      <c r="AC113" s="448"/>
      <c r="AD113" s="448"/>
      <c r="AE113" s="444"/>
      <c r="AF113" s="444"/>
      <c r="AG113" s="444"/>
      <c r="AH113" s="444"/>
      <c r="AI113" s="444"/>
      <c r="AJ113" s="444"/>
      <c r="AK113" s="444"/>
      <c r="AL113" s="444"/>
      <c r="AM113" s="444"/>
      <c r="AN113" s="444"/>
      <c r="AO113" s="444"/>
      <c r="AP113" s="444"/>
    </row>
    <row r="114" spans="1:45" ht="20.100000000000001" customHeight="1" x14ac:dyDescent="0.4">
      <c r="B114" s="472">
        <v>5</v>
      </c>
      <c r="C114" s="449">
        <v>0.4861111111111111</v>
      </c>
      <c r="D114" s="449"/>
      <c r="E114" s="449"/>
      <c r="F114" s="443"/>
      <c r="G114" s="444"/>
      <c r="H114" s="444"/>
      <c r="I114" s="444"/>
      <c r="J114" s="445" t="str">
        <f t="shared" ref="J114" si="60">IFERROR(VLOOKUP(AR114,$C$98:$N$103,3,0),"")&amp;IFERROR(VLOOKUP(AR114,$Q$98:$AB$103,3,0),"")&amp;IFERROR(VLOOKUP(AR114,$AE$98:$AP$103,3,0),"")</f>
        <v>ともぞうＳＣ U12</v>
      </c>
      <c r="K114" s="446"/>
      <c r="L114" s="446"/>
      <c r="M114" s="446"/>
      <c r="N114" s="446"/>
      <c r="O114" s="446"/>
      <c r="P114" s="446"/>
      <c r="Q114" s="450" t="str">
        <f t="shared" si="56"/>
        <v/>
      </c>
      <c r="R114" s="450"/>
      <c r="S114" s="220"/>
      <c r="T114" s="221" t="s">
        <v>30</v>
      </c>
      <c r="U114" s="220"/>
      <c r="V114" s="450" t="str">
        <f t="shared" si="57"/>
        <v/>
      </c>
      <c r="W114" s="450"/>
      <c r="X114" s="447" t="str">
        <f t="shared" ref="X114" si="61">IFERROR(VLOOKUP(AS114,$C$98:$N$103,3,0),"")&amp;IFERROR(VLOOKUP(AS114,$Q$98:$AB$103,3,0),"")&amp;IFERROR(VLOOKUP(AS114,$AE$98:$AP$103,3,0),"")</f>
        <v>細谷サッカークラブ</v>
      </c>
      <c r="Y114" s="448"/>
      <c r="Z114" s="448"/>
      <c r="AA114" s="448"/>
      <c r="AB114" s="448"/>
      <c r="AC114" s="448"/>
      <c r="AD114" s="448"/>
      <c r="AE114" s="443"/>
      <c r="AF114" s="444"/>
      <c r="AG114" s="444"/>
      <c r="AH114" s="444"/>
      <c r="AI114" s="450" t="str">
        <f t="shared" ref="AI114" ca="1" si="62">DBCS(INDIRECT("U12対戦スケジュール!e"&amp;(ROW()/2+35)))</f>
        <v>Ｄ５／Ｄ７／Ｄ７／Ｄ５</v>
      </c>
      <c r="AJ114" s="444"/>
      <c r="AK114" s="444"/>
      <c r="AL114" s="444"/>
      <c r="AM114" s="444"/>
      <c r="AN114" s="444"/>
      <c r="AO114" s="444"/>
      <c r="AP114" s="444"/>
      <c r="AR114" s="56" t="s">
        <v>290</v>
      </c>
      <c r="AS114" s="56" t="s">
        <v>291</v>
      </c>
    </row>
    <row r="115" spans="1:45" ht="20.100000000000001" customHeight="1" x14ac:dyDescent="0.4">
      <c r="B115" s="472"/>
      <c r="C115" s="449"/>
      <c r="D115" s="449"/>
      <c r="E115" s="449"/>
      <c r="F115" s="444"/>
      <c r="G115" s="444"/>
      <c r="H115" s="444"/>
      <c r="I115" s="444"/>
      <c r="J115" s="446"/>
      <c r="K115" s="446"/>
      <c r="L115" s="446"/>
      <c r="M115" s="446"/>
      <c r="N115" s="446"/>
      <c r="O115" s="446"/>
      <c r="P115" s="446"/>
      <c r="Q115" s="450"/>
      <c r="R115" s="450"/>
      <c r="S115" s="220"/>
      <c r="T115" s="221" t="s">
        <v>30</v>
      </c>
      <c r="U115" s="220"/>
      <c r="V115" s="450"/>
      <c r="W115" s="450"/>
      <c r="X115" s="448"/>
      <c r="Y115" s="448"/>
      <c r="Z115" s="448"/>
      <c r="AA115" s="448"/>
      <c r="AB115" s="448"/>
      <c r="AC115" s="448"/>
      <c r="AD115" s="448"/>
      <c r="AE115" s="444"/>
      <c r="AF115" s="444"/>
      <c r="AG115" s="444"/>
      <c r="AH115" s="444"/>
      <c r="AI115" s="444"/>
      <c r="AJ115" s="444"/>
      <c r="AK115" s="444"/>
      <c r="AL115" s="444"/>
      <c r="AM115" s="444"/>
      <c r="AN115" s="444"/>
      <c r="AO115" s="444"/>
      <c r="AP115" s="444"/>
    </row>
    <row r="116" spans="1:45" ht="20.100000000000001" customHeight="1" x14ac:dyDescent="0.4">
      <c r="B116" s="472">
        <v>6</v>
      </c>
      <c r="C116" s="449">
        <v>0.51388888888888895</v>
      </c>
      <c r="D116" s="449">
        <v>0.4375</v>
      </c>
      <c r="E116" s="449"/>
      <c r="F116" s="443"/>
      <c r="G116" s="444"/>
      <c r="H116" s="444"/>
      <c r="I116" s="444"/>
      <c r="J116" s="445" t="str">
        <f t="shared" ref="J116" si="63">IFERROR(VLOOKUP(AR116,$C$98:$N$103,3,0),"")&amp;IFERROR(VLOOKUP(AR116,$Q$98:$AB$103,3,0),"")&amp;IFERROR(VLOOKUP(AR116,$AE$98:$AP$103,3,0),"")</f>
        <v>雀宮ＦＣ</v>
      </c>
      <c r="K116" s="446"/>
      <c r="L116" s="446"/>
      <c r="M116" s="446"/>
      <c r="N116" s="446"/>
      <c r="O116" s="446"/>
      <c r="P116" s="446"/>
      <c r="Q116" s="450" t="str">
        <f t="shared" si="56"/>
        <v/>
      </c>
      <c r="R116" s="450"/>
      <c r="S116" s="220"/>
      <c r="T116" s="221" t="s">
        <v>30</v>
      </c>
      <c r="U116" s="220"/>
      <c r="V116" s="450" t="str">
        <f t="shared" si="57"/>
        <v/>
      </c>
      <c r="W116" s="450"/>
      <c r="X116" s="447" t="str">
        <f t="shared" ref="X116" si="64">IFERROR(VLOOKUP(AS116,$C$98:$N$103,3,0),"")&amp;IFERROR(VLOOKUP(AS116,$Q$98:$AB$103,3,0),"")&amp;IFERROR(VLOOKUP(AS116,$AE$98:$AP$103,3,0),"")</f>
        <v>ＦＣみらいＶ</v>
      </c>
      <c r="Y116" s="448"/>
      <c r="Z116" s="448"/>
      <c r="AA116" s="448"/>
      <c r="AB116" s="448"/>
      <c r="AC116" s="448"/>
      <c r="AD116" s="448"/>
      <c r="AE116" s="443"/>
      <c r="AF116" s="444"/>
      <c r="AG116" s="444"/>
      <c r="AH116" s="444"/>
      <c r="AI116" s="450" t="str">
        <f t="shared" ref="AI116" ca="1" si="65">DBCS(INDIRECT("U12対戦スケジュール!e"&amp;(ROW()/2+35)))</f>
        <v>Ｃ５／Ｃ７／Ｃ７／Ｃ５</v>
      </c>
      <c r="AJ116" s="444"/>
      <c r="AK116" s="444"/>
      <c r="AL116" s="444"/>
      <c r="AM116" s="444"/>
      <c r="AN116" s="444"/>
      <c r="AO116" s="444"/>
      <c r="AP116" s="444"/>
      <c r="AR116" s="56" t="s">
        <v>585</v>
      </c>
      <c r="AS116" s="56" t="s">
        <v>579</v>
      </c>
    </row>
    <row r="117" spans="1:45" ht="20.100000000000001" customHeight="1" x14ac:dyDescent="0.4">
      <c r="B117" s="472"/>
      <c r="C117" s="449"/>
      <c r="D117" s="449"/>
      <c r="E117" s="449"/>
      <c r="F117" s="444"/>
      <c r="G117" s="444"/>
      <c r="H117" s="444"/>
      <c r="I117" s="444"/>
      <c r="J117" s="446"/>
      <c r="K117" s="446"/>
      <c r="L117" s="446"/>
      <c r="M117" s="446"/>
      <c r="N117" s="446"/>
      <c r="O117" s="446"/>
      <c r="P117" s="446"/>
      <c r="Q117" s="450"/>
      <c r="R117" s="450"/>
      <c r="S117" s="220"/>
      <c r="T117" s="221" t="s">
        <v>30</v>
      </c>
      <c r="U117" s="220"/>
      <c r="V117" s="450"/>
      <c r="W117" s="450"/>
      <c r="X117" s="448"/>
      <c r="Y117" s="448"/>
      <c r="Z117" s="448"/>
      <c r="AA117" s="448"/>
      <c r="AB117" s="448"/>
      <c r="AC117" s="448"/>
      <c r="AD117" s="448"/>
      <c r="AE117" s="444"/>
      <c r="AF117" s="444"/>
      <c r="AG117" s="444"/>
      <c r="AH117" s="444"/>
      <c r="AI117" s="444"/>
      <c r="AJ117" s="444"/>
      <c r="AK117" s="444"/>
      <c r="AL117" s="444"/>
      <c r="AM117" s="444"/>
      <c r="AN117" s="444"/>
      <c r="AO117" s="444"/>
      <c r="AP117" s="444"/>
    </row>
    <row r="118" spans="1:45" ht="20.100000000000001" hidden="1" customHeight="1" thickBot="1" x14ac:dyDescent="0.45">
      <c r="B118" s="573">
        <v>7</v>
      </c>
      <c r="C118" s="535">
        <v>0.58333333333333304</v>
      </c>
      <c r="D118" s="536"/>
      <c r="E118" s="537"/>
      <c r="F118" s="547"/>
      <c r="G118" s="548"/>
      <c r="H118" s="548"/>
      <c r="I118" s="549"/>
      <c r="J118" s="553" t="str">
        <f>IFERROR(VLOOKUP(AR118,$C$98:$N$103,3,0),"")&amp;IFERROR(VLOOKUP(AR118,$Q$98:$AB$103,3,0),"")&amp;IFERROR(VLOOKUP(AR118,$AE$98:$AP$103,3,0),"")</f>
        <v/>
      </c>
      <c r="K118" s="554"/>
      <c r="L118" s="554"/>
      <c r="M118" s="554"/>
      <c r="N118" s="554"/>
      <c r="O118" s="554"/>
      <c r="P118" s="555"/>
      <c r="Q118" s="563" t="str">
        <f>IF(OR(S118="",S119=""),"",S118+S119)</f>
        <v/>
      </c>
      <c r="R118" s="564"/>
      <c r="S118" s="228"/>
      <c r="T118" s="229" t="s">
        <v>30</v>
      </c>
      <c r="U118" s="228"/>
      <c r="V118" s="563" t="str">
        <f>IF(OR(U118="",U119=""),"",U118+U119)</f>
        <v/>
      </c>
      <c r="W118" s="564"/>
      <c r="X118" s="559" t="str">
        <f>IFERROR(VLOOKUP(AS118,$C$98:$N$103,3,0),"")&amp;IFERROR(VLOOKUP(AS118,$Q$98:$AB$103,3,0),"")&amp;IFERROR(VLOOKUP(AS118,$AE$98:$AP$103,3,0),"")</f>
        <v/>
      </c>
      <c r="Y118" s="554"/>
      <c r="Z118" s="554"/>
      <c r="AA118" s="554"/>
      <c r="AB118" s="554"/>
      <c r="AC118" s="554"/>
      <c r="AD118" s="560"/>
      <c r="AE118" s="547"/>
      <c r="AF118" s="548"/>
      <c r="AG118" s="548"/>
      <c r="AH118" s="549"/>
      <c r="AI118" s="567" t="str">
        <f ca="1">DBCS(INDIRECT("U12対戦スケジュール!e"&amp;(ROW()/2+32)))</f>
        <v>Ｃ７／Ｃ３／Ｃ３／Ｃ７</v>
      </c>
      <c r="AJ118" s="568"/>
      <c r="AK118" s="568"/>
      <c r="AL118" s="568"/>
      <c r="AM118" s="568"/>
      <c r="AN118" s="568"/>
      <c r="AO118" s="568"/>
      <c r="AP118" s="569"/>
    </row>
    <row r="119" spans="1:45" ht="20.100000000000001" hidden="1" customHeight="1" thickBot="1" x14ac:dyDescent="0.45">
      <c r="B119" s="574"/>
      <c r="C119" s="538"/>
      <c r="D119" s="539"/>
      <c r="E119" s="540"/>
      <c r="F119" s="550"/>
      <c r="G119" s="551"/>
      <c r="H119" s="551"/>
      <c r="I119" s="552"/>
      <c r="J119" s="556"/>
      <c r="K119" s="557"/>
      <c r="L119" s="557"/>
      <c r="M119" s="557"/>
      <c r="N119" s="557"/>
      <c r="O119" s="557"/>
      <c r="P119" s="558"/>
      <c r="Q119" s="565"/>
      <c r="R119" s="566"/>
      <c r="S119" s="67"/>
      <c r="T119" s="131" t="s">
        <v>30</v>
      </c>
      <c r="U119" s="67"/>
      <c r="V119" s="565"/>
      <c r="W119" s="566"/>
      <c r="X119" s="561"/>
      <c r="Y119" s="557"/>
      <c r="Z119" s="557"/>
      <c r="AA119" s="557"/>
      <c r="AB119" s="557"/>
      <c r="AC119" s="557"/>
      <c r="AD119" s="562"/>
      <c r="AE119" s="550"/>
      <c r="AF119" s="551"/>
      <c r="AG119" s="551"/>
      <c r="AH119" s="552"/>
      <c r="AI119" s="570"/>
      <c r="AJ119" s="571"/>
      <c r="AK119" s="571"/>
      <c r="AL119" s="571"/>
      <c r="AM119" s="571"/>
      <c r="AN119" s="571"/>
      <c r="AO119" s="571"/>
      <c r="AP119" s="572"/>
    </row>
    <row r="120" spans="1:45" s="55" customFormat="1" ht="15.75" customHeight="1" x14ac:dyDescent="0.4">
      <c r="A120" s="58"/>
      <c r="B120" s="59"/>
      <c r="C120" s="60"/>
      <c r="D120" s="60"/>
      <c r="E120" s="60"/>
      <c r="F120" s="59"/>
      <c r="G120" s="59"/>
      <c r="H120" s="59"/>
      <c r="I120" s="59"/>
      <c r="J120" s="59"/>
      <c r="K120" s="61"/>
      <c r="L120" s="61"/>
      <c r="M120" s="62"/>
      <c r="N120" s="63"/>
      <c r="O120" s="62"/>
      <c r="P120" s="61"/>
      <c r="Q120" s="61"/>
      <c r="R120" s="59"/>
      <c r="S120" s="59"/>
      <c r="T120" s="59"/>
      <c r="U120" s="59"/>
      <c r="V120" s="59"/>
      <c r="W120" s="66"/>
      <c r="X120" s="66"/>
      <c r="Y120" s="66"/>
      <c r="Z120" s="66"/>
      <c r="AA120" s="66"/>
      <c r="AB120" s="66"/>
      <c r="AC120" s="58"/>
    </row>
    <row r="121" spans="1:45" ht="20.25" customHeight="1" x14ac:dyDescent="0.4">
      <c r="D121" s="477" t="s">
        <v>31</v>
      </c>
      <c r="E121" s="477"/>
      <c r="F121" s="477"/>
      <c r="G121" s="477"/>
      <c r="H121" s="477"/>
      <c r="I121" s="477"/>
      <c r="J121" s="477" t="s">
        <v>27</v>
      </c>
      <c r="K121" s="477"/>
      <c r="L121" s="477"/>
      <c r="M121" s="477"/>
      <c r="N121" s="477"/>
      <c r="O121" s="477"/>
      <c r="P121" s="477"/>
      <c r="Q121" s="477"/>
      <c r="R121" s="478" t="s">
        <v>32</v>
      </c>
      <c r="S121" s="478"/>
      <c r="T121" s="478"/>
      <c r="U121" s="478"/>
      <c r="V121" s="478"/>
      <c r="W121" s="478"/>
      <c r="X121" s="478"/>
      <c r="Y121" s="478"/>
      <c r="Z121" s="478"/>
      <c r="AA121" s="479" t="s">
        <v>33</v>
      </c>
      <c r="AB121" s="479"/>
      <c r="AC121" s="479"/>
      <c r="AD121" s="479" t="s">
        <v>34</v>
      </c>
      <c r="AE121" s="479"/>
      <c r="AF121" s="479"/>
      <c r="AG121" s="479"/>
      <c r="AH121" s="479"/>
      <c r="AI121" s="479"/>
      <c r="AJ121" s="479"/>
      <c r="AK121" s="479"/>
      <c r="AL121" s="479"/>
      <c r="AM121" s="479"/>
    </row>
    <row r="122" spans="1:45" ht="30" customHeight="1" x14ac:dyDescent="0.4">
      <c r="D122" s="477" t="s">
        <v>35</v>
      </c>
      <c r="E122" s="477"/>
      <c r="F122" s="477"/>
      <c r="G122" s="477"/>
      <c r="H122" s="477"/>
      <c r="I122" s="477"/>
      <c r="J122" s="477"/>
      <c r="K122" s="477"/>
      <c r="L122" s="477"/>
      <c r="M122" s="477"/>
      <c r="N122" s="477"/>
      <c r="O122" s="477"/>
      <c r="P122" s="477"/>
      <c r="Q122" s="477"/>
      <c r="R122" s="478"/>
      <c r="S122" s="478"/>
      <c r="T122" s="478"/>
      <c r="U122" s="478"/>
      <c r="V122" s="478"/>
      <c r="W122" s="478"/>
      <c r="X122" s="478"/>
      <c r="Y122" s="478"/>
      <c r="Z122" s="478"/>
      <c r="AA122" s="478"/>
      <c r="AB122" s="478"/>
      <c r="AC122" s="478"/>
      <c r="AD122" s="480"/>
      <c r="AE122" s="480"/>
      <c r="AF122" s="480"/>
      <c r="AG122" s="480"/>
      <c r="AH122" s="480"/>
      <c r="AI122" s="480"/>
      <c r="AJ122" s="480"/>
      <c r="AK122" s="480"/>
      <c r="AL122" s="480"/>
      <c r="AM122" s="480"/>
    </row>
    <row r="123" spans="1:45" ht="30" customHeight="1" x14ac:dyDescent="0.4">
      <c r="D123" s="477" t="s">
        <v>35</v>
      </c>
      <c r="E123" s="477"/>
      <c r="F123" s="477"/>
      <c r="G123" s="477"/>
      <c r="H123" s="477"/>
      <c r="I123" s="477"/>
      <c r="J123" s="477"/>
      <c r="K123" s="477"/>
      <c r="L123" s="477"/>
      <c r="M123" s="477"/>
      <c r="N123" s="477"/>
      <c r="O123" s="477"/>
      <c r="P123" s="477"/>
      <c r="Q123" s="477"/>
      <c r="R123" s="478"/>
      <c r="S123" s="478"/>
      <c r="T123" s="478"/>
      <c r="U123" s="478"/>
      <c r="V123" s="478"/>
      <c r="W123" s="478"/>
      <c r="X123" s="478"/>
      <c r="Y123" s="478"/>
      <c r="Z123" s="478"/>
      <c r="AA123" s="478"/>
      <c r="AB123" s="478"/>
      <c r="AC123" s="478"/>
      <c r="AD123" s="480"/>
      <c r="AE123" s="480"/>
      <c r="AF123" s="480"/>
      <c r="AG123" s="480"/>
      <c r="AH123" s="480"/>
      <c r="AI123" s="480"/>
      <c r="AJ123" s="480"/>
      <c r="AK123" s="480"/>
      <c r="AL123" s="480"/>
      <c r="AM123" s="480"/>
    </row>
    <row r="124" spans="1:45" ht="30" customHeight="1" x14ac:dyDescent="0.4">
      <c r="D124" s="477" t="s">
        <v>35</v>
      </c>
      <c r="E124" s="477"/>
      <c r="F124" s="477"/>
      <c r="G124" s="477"/>
      <c r="H124" s="477"/>
      <c r="I124" s="477"/>
      <c r="J124" s="477"/>
      <c r="K124" s="477"/>
      <c r="L124" s="477"/>
      <c r="M124" s="477"/>
      <c r="N124" s="477"/>
      <c r="O124" s="477"/>
      <c r="P124" s="477"/>
      <c r="Q124" s="477"/>
      <c r="R124" s="478"/>
      <c r="S124" s="478"/>
      <c r="T124" s="478"/>
      <c r="U124" s="478"/>
      <c r="V124" s="478"/>
      <c r="W124" s="478"/>
      <c r="X124" s="478"/>
      <c r="Y124" s="478"/>
      <c r="Z124" s="478"/>
      <c r="AA124" s="479"/>
      <c r="AB124" s="479"/>
      <c r="AC124" s="479"/>
      <c r="AD124" s="480"/>
      <c r="AE124" s="480"/>
      <c r="AF124" s="480"/>
      <c r="AG124" s="480"/>
      <c r="AH124" s="480"/>
      <c r="AI124" s="480"/>
      <c r="AJ124" s="480"/>
      <c r="AK124" s="480"/>
      <c r="AL124" s="480"/>
      <c r="AM124" s="480"/>
    </row>
    <row r="125" spans="1:45" ht="14.25" customHeight="1" x14ac:dyDescent="0.4">
      <c r="A125" s="88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</row>
    <row r="126" spans="1:45" ht="14.25" customHeight="1" x14ac:dyDescent="0.4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</row>
    <row r="127" spans="1:45" ht="27.75" customHeight="1" x14ac:dyDescent="0.4">
      <c r="A127" s="57"/>
      <c r="B127" s="57"/>
      <c r="C127" s="89"/>
      <c r="D127" s="89"/>
      <c r="E127" s="89"/>
      <c r="F127" s="89"/>
      <c r="G127" s="90"/>
      <c r="H127" s="91"/>
      <c r="I127" s="91"/>
      <c r="J127" s="91"/>
      <c r="K127" s="91"/>
      <c r="L127" s="91"/>
      <c r="M127" s="91"/>
      <c r="N127" s="91"/>
      <c r="O127" s="91"/>
      <c r="P127" s="89"/>
      <c r="Q127" s="89"/>
      <c r="R127" s="89"/>
      <c r="S127" s="89"/>
      <c r="T127" s="92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93"/>
      <c r="AH127" s="93"/>
      <c r="AI127" s="93"/>
      <c r="AJ127" s="93"/>
      <c r="AK127" s="93"/>
      <c r="AL127" s="93"/>
      <c r="AM127" s="93"/>
      <c r="AN127" s="93"/>
      <c r="AO127" s="93"/>
      <c r="AP127" s="57"/>
      <c r="AQ127" s="57"/>
    </row>
    <row r="128" spans="1:45" ht="15" customHeight="1" x14ac:dyDescent="0.4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64"/>
      <c r="X128" s="64"/>
      <c r="Y128" s="64"/>
      <c r="Z128" s="64"/>
      <c r="AA128" s="64"/>
      <c r="AB128" s="64"/>
      <c r="AC128" s="64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</row>
    <row r="129" spans="1:43" ht="18" customHeight="1" x14ac:dyDescent="0.4">
      <c r="A129" s="57"/>
      <c r="B129" s="57"/>
      <c r="C129" s="71"/>
      <c r="D129" s="71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58"/>
      <c r="P129" s="58"/>
      <c r="Q129" s="71"/>
      <c r="R129" s="71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68"/>
      <c r="AD129" s="58"/>
      <c r="AE129" s="71"/>
      <c r="AF129" s="71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57"/>
    </row>
    <row r="130" spans="1:43" ht="18" customHeight="1" x14ac:dyDescent="0.4">
      <c r="A130" s="57"/>
      <c r="B130" s="57"/>
      <c r="C130" s="71"/>
      <c r="D130" s="71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58"/>
      <c r="P130" s="58"/>
      <c r="Q130" s="71"/>
      <c r="R130" s="71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68"/>
      <c r="AD130" s="58"/>
      <c r="AE130" s="71"/>
      <c r="AF130" s="71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57"/>
    </row>
    <row r="131" spans="1:43" ht="18" customHeight="1" x14ac:dyDescent="0.4">
      <c r="A131" s="57"/>
      <c r="B131" s="57"/>
      <c r="C131" s="71"/>
      <c r="D131" s="71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58"/>
      <c r="P131" s="58"/>
      <c r="Q131" s="71"/>
      <c r="R131" s="71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68"/>
      <c r="AD131" s="58"/>
      <c r="AE131" s="71"/>
      <c r="AF131" s="71"/>
      <c r="AG131" s="72"/>
      <c r="AH131" s="72"/>
      <c r="AI131" s="72"/>
      <c r="AJ131" s="72"/>
      <c r="AK131" s="72"/>
      <c r="AL131" s="72"/>
      <c r="AM131" s="72"/>
      <c r="AN131" s="72"/>
      <c r="AO131" s="72"/>
      <c r="AP131" s="72"/>
      <c r="AQ131" s="57"/>
    </row>
    <row r="132" spans="1:43" ht="18" customHeight="1" x14ac:dyDescent="0.4">
      <c r="A132" s="57"/>
      <c r="B132" s="57"/>
      <c r="C132" s="71"/>
      <c r="D132" s="71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58"/>
      <c r="P132" s="58"/>
      <c r="Q132" s="71"/>
      <c r="R132" s="71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68"/>
      <c r="AD132" s="58"/>
      <c r="AE132" s="71"/>
      <c r="AF132" s="71"/>
      <c r="AG132" s="72"/>
      <c r="AH132" s="72"/>
      <c r="AI132" s="72"/>
      <c r="AJ132" s="72"/>
      <c r="AK132" s="72"/>
      <c r="AL132" s="72"/>
      <c r="AM132" s="72"/>
      <c r="AN132" s="72"/>
      <c r="AO132" s="72"/>
      <c r="AP132" s="72"/>
      <c r="AQ132" s="57"/>
    </row>
    <row r="133" spans="1:43" ht="18" customHeight="1" x14ac:dyDescent="0.4">
      <c r="A133" s="57"/>
      <c r="B133" s="57"/>
      <c r="C133" s="71"/>
      <c r="D133" s="71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58"/>
      <c r="P133" s="58"/>
      <c r="Q133" s="71"/>
      <c r="R133" s="71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68"/>
      <c r="AD133" s="58"/>
      <c r="AE133" s="71"/>
      <c r="AF133" s="71"/>
      <c r="AG133" s="72"/>
      <c r="AH133" s="102"/>
      <c r="AI133" s="102"/>
      <c r="AJ133" s="102"/>
      <c r="AK133" s="102"/>
      <c r="AL133" s="102"/>
      <c r="AM133" s="102"/>
      <c r="AN133" s="102"/>
      <c r="AO133" s="102"/>
      <c r="AP133" s="102"/>
      <c r="AQ133" s="57"/>
    </row>
    <row r="134" spans="1:43" ht="15" customHeight="1" x14ac:dyDescent="0.4">
      <c r="A134" s="57"/>
      <c r="B134" s="57"/>
      <c r="C134" s="103"/>
      <c r="D134" s="104"/>
      <c r="E134" s="104"/>
      <c r="F134" s="104"/>
      <c r="G134" s="104"/>
      <c r="H134" s="104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104"/>
      <c r="U134" s="57"/>
      <c r="V134" s="104"/>
      <c r="W134" s="57"/>
      <c r="X134" s="104"/>
      <c r="Y134" s="57"/>
      <c r="Z134" s="104"/>
      <c r="AA134" s="57"/>
      <c r="AB134" s="104"/>
      <c r="AC134" s="104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</row>
    <row r="135" spans="1:43" ht="21" customHeight="1" x14ac:dyDescent="0.4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</row>
    <row r="136" spans="1:43" ht="20.25" customHeight="1" x14ac:dyDescent="0.4">
      <c r="A136" s="57"/>
      <c r="B136" s="73"/>
      <c r="C136" s="74"/>
      <c r="D136" s="74"/>
      <c r="E136" s="74"/>
      <c r="F136" s="105"/>
      <c r="G136" s="106"/>
      <c r="H136" s="106"/>
      <c r="I136" s="106"/>
      <c r="J136" s="74"/>
      <c r="K136" s="107"/>
      <c r="L136" s="107"/>
      <c r="M136" s="107"/>
      <c r="N136" s="107"/>
      <c r="O136" s="107"/>
      <c r="P136" s="107"/>
      <c r="Q136" s="74"/>
      <c r="R136" s="74"/>
      <c r="S136" s="74"/>
      <c r="T136" s="74"/>
      <c r="U136" s="74"/>
      <c r="V136" s="74"/>
      <c r="W136" s="74"/>
      <c r="X136" s="74"/>
      <c r="Y136" s="107"/>
      <c r="Z136" s="107"/>
      <c r="AA136" s="107"/>
      <c r="AB136" s="107"/>
      <c r="AC136" s="107"/>
      <c r="AD136" s="107"/>
      <c r="AE136" s="105"/>
      <c r="AF136" s="106"/>
      <c r="AG136" s="106"/>
      <c r="AH136" s="106"/>
      <c r="AI136" s="74"/>
      <c r="AJ136" s="74"/>
      <c r="AK136" s="107"/>
      <c r="AL136" s="107"/>
      <c r="AM136" s="107"/>
      <c r="AN136" s="107"/>
      <c r="AO136" s="107"/>
      <c r="AP136" s="107"/>
      <c r="AQ136" s="57"/>
    </row>
    <row r="137" spans="1:43" ht="20.100000000000001" customHeight="1" x14ac:dyDescent="0.4">
      <c r="A137" s="57"/>
      <c r="B137" s="59"/>
      <c r="C137" s="60"/>
      <c r="D137" s="60"/>
      <c r="E137" s="60"/>
      <c r="F137" s="57"/>
      <c r="G137" s="143"/>
      <c r="H137" s="143"/>
      <c r="I137" s="143"/>
      <c r="J137" s="61"/>
      <c r="K137" s="107"/>
      <c r="L137" s="107"/>
      <c r="M137" s="107"/>
      <c r="N137" s="107"/>
      <c r="O137" s="107"/>
      <c r="P137" s="107"/>
      <c r="Q137" s="61"/>
      <c r="R137" s="61"/>
      <c r="S137" s="61"/>
      <c r="T137" s="61"/>
      <c r="U137" s="61"/>
      <c r="V137" s="61"/>
      <c r="W137" s="61"/>
      <c r="X137" s="61"/>
      <c r="Y137" s="107"/>
      <c r="Z137" s="107"/>
      <c r="AA137" s="107"/>
      <c r="AB137" s="107"/>
      <c r="AC137" s="107"/>
      <c r="AD137" s="107"/>
      <c r="AE137" s="57"/>
      <c r="AF137" s="143"/>
      <c r="AG137" s="143"/>
      <c r="AH137" s="143"/>
      <c r="AI137" s="61"/>
      <c r="AJ137" s="143"/>
      <c r="AK137" s="143"/>
      <c r="AL137" s="143"/>
      <c r="AM137" s="143"/>
      <c r="AN137" s="143"/>
      <c r="AO137" s="143"/>
      <c r="AP137" s="143"/>
      <c r="AQ137" s="57"/>
    </row>
    <row r="138" spans="1:43" ht="20.100000000000001" customHeight="1" x14ac:dyDescent="0.4">
      <c r="A138" s="57"/>
      <c r="B138" s="59"/>
      <c r="C138" s="60"/>
      <c r="D138" s="60"/>
      <c r="E138" s="60"/>
      <c r="F138" s="143"/>
      <c r="G138" s="143"/>
      <c r="H138" s="143"/>
      <c r="I138" s="143"/>
      <c r="J138" s="107"/>
      <c r="K138" s="107"/>
      <c r="L138" s="107"/>
      <c r="M138" s="107"/>
      <c r="N138" s="107"/>
      <c r="O138" s="107"/>
      <c r="P138" s="107"/>
      <c r="Q138" s="61"/>
      <c r="R138" s="61"/>
      <c r="S138" s="61"/>
      <c r="T138" s="61"/>
      <c r="U138" s="61"/>
      <c r="V138" s="61"/>
      <c r="W138" s="61"/>
      <c r="X138" s="107"/>
      <c r="Y138" s="107"/>
      <c r="Z138" s="107"/>
      <c r="AA138" s="107"/>
      <c r="AB138" s="107"/>
      <c r="AC138" s="107"/>
      <c r="AD138" s="107"/>
      <c r="AE138" s="143"/>
      <c r="AF138" s="143"/>
      <c r="AG138" s="143"/>
      <c r="AH138" s="143"/>
      <c r="AI138" s="143"/>
      <c r="AJ138" s="143"/>
      <c r="AK138" s="143"/>
      <c r="AL138" s="143"/>
      <c r="AM138" s="143"/>
      <c r="AN138" s="143"/>
      <c r="AO138" s="143"/>
      <c r="AP138" s="143"/>
      <c r="AQ138" s="57"/>
    </row>
    <row r="139" spans="1:43" ht="20.100000000000001" customHeight="1" x14ac:dyDescent="0.4">
      <c r="A139" s="57"/>
      <c r="B139" s="59"/>
      <c r="C139" s="60"/>
      <c r="D139" s="60"/>
      <c r="E139" s="60"/>
      <c r="F139" s="57"/>
      <c r="G139" s="143"/>
      <c r="H139" s="143"/>
      <c r="I139" s="143"/>
      <c r="J139" s="61"/>
      <c r="K139" s="107"/>
      <c r="L139" s="107"/>
      <c r="M139" s="107"/>
      <c r="N139" s="107"/>
      <c r="O139" s="107"/>
      <c r="P139" s="107"/>
      <c r="Q139" s="61"/>
      <c r="R139" s="61"/>
      <c r="S139" s="61"/>
      <c r="T139" s="61"/>
      <c r="U139" s="61"/>
      <c r="V139" s="61"/>
      <c r="W139" s="61"/>
      <c r="X139" s="61"/>
      <c r="Y139" s="107"/>
      <c r="Z139" s="107"/>
      <c r="AA139" s="107"/>
      <c r="AB139" s="107"/>
      <c r="AC139" s="107"/>
      <c r="AD139" s="107"/>
      <c r="AE139" s="57"/>
      <c r="AF139" s="143"/>
      <c r="AG139" s="143"/>
      <c r="AH139" s="143"/>
      <c r="AI139" s="61"/>
      <c r="AJ139" s="143"/>
      <c r="AK139" s="143"/>
      <c r="AL139" s="143"/>
      <c r="AM139" s="143"/>
      <c r="AN139" s="143"/>
      <c r="AO139" s="143"/>
      <c r="AP139" s="143"/>
      <c r="AQ139" s="57"/>
    </row>
    <row r="140" spans="1:43" ht="20.100000000000001" customHeight="1" x14ac:dyDescent="0.4">
      <c r="A140" s="57"/>
      <c r="B140" s="59"/>
      <c r="C140" s="60"/>
      <c r="D140" s="60"/>
      <c r="E140" s="60"/>
      <c r="F140" s="143"/>
      <c r="G140" s="143"/>
      <c r="H140" s="143"/>
      <c r="I140" s="143"/>
      <c r="J140" s="107"/>
      <c r="K140" s="107"/>
      <c r="L140" s="107"/>
      <c r="M140" s="107"/>
      <c r="N140" s="107"/>
      <c r="O140" s="107"/>
      <c r="P140" s="107"/>
      <c r="Q140" s="61"/>
      <c r="R140" s="61"/>
      <c r="S140" s="61"/>
      <c r="T140" s="61"/>
      <c r="U140" s="61"/>
      <c r="V140" s="61"/>
      <c r="W140" s="61"/>
      <c r="X140" s="107"/>
      <c r="Y140" s="107"/>
      <c r="Z140" s="107"/>
      <c r="AA140" s="107"/>
      <c r="AB140" s="107"/>
      <c r="AC140" s="107"/>
      <c r="AD140" s="107"/>
      <c r="AE140" s="143"/>
      <c r="AF140" s="143"/>
      <c r="AG140" s="143"/>
      <c r="AH140" s="143"/>
      <c r="AI140" s="143"/>
      <c r="AJ140" s="143"/>
      <c r="AK140" s="143"/>
      <c r="AL140" s="143"/>
      <c r="AM140" s="143"/>
      <c r="AN140" s="143"/>
      <c r="AO140" s="143"/>
      <c r="AP140" s="143"/>
      <c r="AQ140" s="57"/>
    </row>
    <row r="141" spans="1:43" ht="20.100000000000001" customHeight="1" x14ac:dyDescent="0.4">
      <c r="A141" s="57"/>
      <c r="B141" s="59"/>
      <c r="C141" s="60"/>
      <c r="D141" s="60"/>
      <c r="E141" s="60"/>
      <c r="F141" s="57"/>
      <c r="G141" s="143"/>
      <c r="H141" s="143"/>
      <c r="I141" s="143"/>
      <c r="J141" s="61"/>
      <c r="K141" s="107"/>
      <c r="L141" s="107"/>
      <c r="M141" s="107"/>
      <c r="N141" s="107"/>
      <c r="O141" s="107"/>
      <c r="P141" s="107"/>
      <c r="Q141" s="61"/>
      <c r="R141" s="61"/>
      <c r="S141" s="61"/>
      <c r="T141" s="61"/>
      <c r="U141" s="61"/>
      <c r="V141" s="61"/>
      <c r="W141" s="61"/>
      <c r="X141" s="61"/>
      <c r="Y141" s="107"/>
      <c r="Z141" s="107"/>
      <c r="AA141" s="107"/>
      <c r="AB141" s="107"/>
      <c r="AC141" s="107"/>
      <c r="AD141" s="107"/>
      <c r="AE141" s="57"/>
      <c r="AF141" s="143"/>
      <c r="AG141" s="143"/>
      <c r="AH141" s="143"/>
      <c r="AI141" s="61"/>
      <c r="AJ141" s="143"/>
      <c r="AK141" s="143"/>
      <c r="AL141" s="143"/>
      <c r="AM141" s="143"/>
      <c r="AN141" s="143"/>
      <c r="AO141" s="143"/>
      <c r="AP141" s="143"/>
      <c r="AQ141" s="57"/>
    </row>
    <row r="142" spans="1:43" ht="20.100000000000001" customHeight="1" x14ac:dyDescent="0.4">
      <c r="A142" s="57"/>
      <c r="B142" s="59"/>
      <c r="C142" s="60"/>
      <c r="D142" s="60"/>
      <c r="E142" s="60"/>
      <c r="F142" s="143"/>
      <c r="G142" s="143"/>
      <c r="H142" s="143"/>
      <c r="I142" s="143"/>
      <c r="J142" s="107"/>
      <c r="K142" s="107"/>
      <c r="L142" s="107"/>
      <c r="M142" s="107"/>
      <c r="N142" s="107"/>
      <c r="O142" s="107"/>
      <c r="P142" s="107"/>
      <c r="Q142" s="61"/>
      <c r="R142" s="61"/>
      <c r="S142" s="61"/>
      <c r="T142" s="61"/>
      <c r="U142" s="61"/>
      <c r="V142" s="61"/>
      <c r="W142" s="61"/>
      <c r="X142" s="107"/>
      <c r="Y142" s="107"/>
      <c r="Z142" s="107"/>
      <c r="AA142" s="107"/>
      <c r="AB142" s="107"/>
      <c r="AC142" s="107"/>
      <c r="AD142" s="107"/>
      <c r="AE142" s="143"/>
      <c r="AF142" s="143"/>
      <c r="AG142" s="143"/>
      <c r="AH142" s="143"/>
      <c r="AI142" s="143"/>
      <c r="AJ142" s="143"/>
      <c r="AK142" s="143"/>
      <c r="AL142" s="143"/>
      <c r="AM142" s="143"/>
      <c r="AN142" s="143"/>
      <c r="AO142" s="143"/>
      <c r="AP142" s="143"/>
      <c r="AQ142" s="57"/>
    </row>
    <row r="143" spans="1:43" ht="20.100000000000001" customHeight="1" x14ac:dyDescent="0.4">
      <c r="A143" s="57"/>
      <c r="B143" s="59"/>
      <c r="C143" s="60"/>
      <c r="D143" s="60"/>
      <c r="E143" s="60"/>
      <c r="F143" s="57"/>
      <c r="G143" s="143"/>
      <c r="H143" s="143"/>
      <c r="I143" s="143"/>
      <c r="J143" s="61"/>
      <c r="K143" s="107"/>
      <c r="L143" s="107"/>
      <c r="M143" s="107"/>
      <c r="N143" s="107"/>
      <c r="O143" s="107"/>
      <c r="P143" s="107"/>
      <c r="Q143" s="61"/>
      <c r="R143" s="61"/>
      <c r="S143" s="61"/>
      <c r="T143" s="61"/>
      <c r="U143" s="61"/>
      <c r="V143" s="61"/>
      <c r="W143" s="61"/>
      <c r="X143" s="61"/>
      <c r="Y143" s="107"/>
      <c r="Z143" s="107"/>
      <c r="AA143" s="107"/>
      <c r="AB143" s="107"/>
      <c r="AC143" s="107"/>
      <c r="AD143" s="107"/>
      <c r="AE143" s="57"/>
      <c r="AF143" s="143"/>
      <c r="AG143" s="143"/>
      <c r="AH143" s="143"/>
      <c r="AI143" s="61"/>
      <c r="AJ143" s="143"/>
      <c r="AK143" s="143"/>
      <c r="AL143" s="143"/>
      <c r="AM143" s="143"/>
      <c r="AN143" s="143"/>
      <c r="AO143" s="143"/>
      <c r="AP143" s="143"/>
      <c r="AQ143" s="57"/>
    </row>
    <row r="144" spans="1:43" ht="20.100000000000001" customHeight="1" x14ac:dyDescent="0.4">
      <c r="A144" s="57"/>
      <c r="B144" s="59"/>
      <c r="C144" s="60"/>
      <c r="D144" s="60"/>
      <c r="E144" s="60"/>
      <c r="F144" s="143"/>
      <c r="G144" s="143"/>
      <c r="H144" s="143"/>
      <c r="I144" s="143"/>
      <c r="J144" s="107"/>
      <c r="K144" s="107"/>
      <c r="L144" s="107"/>
      <c r="M144" s="107"/>
      <c r="N144" s="107"/>
      <c r="O144" s="107"/>
      <c r="P144" s="107"/>
      <c r="Q144" s="61"/>
      <c r="R144" s="61"/>
      <c r="S144" s="61"/>
      <c r="T144" s="61"/>
      <c r="U144" s="61"/>
      <c r="V144" s="61"/>
      <c r="W144" s="61"/>
      <c r="X144" s="107"/>
      <c r="Y144" s="107"/>
      <c r="Z144" s="107"/>
      <c r="AA144" s="107"/>
      <c r="AB144" s="107"/>
      <c r="AC144" s="107"/>
      <c r="AD144" s="107"/>
      <c r="AE144" s="143"/>
      <c r="AF144" s="143"/>
      <c r="AG144" s="143"/>
      <c r="AH144" s="143"/>
      <c r="AI144" s="143"/>
      <c r="AJ144" s="143"/>
      <c r="AK144" s="143"/>
      <c r="AL144" s="143"/>
      <c r="AM144" s="143"/>
      <c r="AN144" s="143"/>
      <c r="AO144" s="143"/>
      <c r="AP144" s="143"/>
      <c r="AQ144" s="57"/>
    </row>
    <row r="145" spans="1:43" ht="20.100000000000001" customHeight="1" x14ac:dyDescent="0.4">
      <c r="A145" s="57"/>
      <c r="B145" s="59"/>
      <c r="C145" s="60"/>
      <c r="D145" s="60"/>
      <c r="E145" s="60"/>
      <c r="F145" s="57"/>
      <c r="G145" s="143"/>
      <c r="H145" s="143"/>
      <c r="I145" s="143"/>
      <c r="J145" s="61"/>
      <c r="K145" s="107"/>
      <c r="L145" s="107"/>
      <c r="M145" s="107"/>
      <c r="N145" s="107"/>
      <c r="O145" s="107"/>
      <c r="P145" s="107"/>
      <c r="Q145" s="61"/>
      <c r="R145" s="61"/>
      <c r="S145" s="61"/>
      <c r="T145" s="61"/>
      <c r="U145" s="61"/>
      <c r="V145" s="61"/>
      <c r="W145" s="61"/>
      <c r="X145" s="61"/>
      <c r="Y145" s="107"/>
      <c r="Z145" s="107"/>
      <c r="AA145" s="107"/>
      <c r="AB145" s="107"/>
      <c r="AC145" s="107"/>
      <c r="AD145" s="107"/>
      <c r="AE145" s="57"/>
      <c r="AF145" s="143"/>
      <c r="AG145" s="143"/>
      <c r="AH145" s="143"/>
      <c r="AI145" s="61"/>
      <c r="AJ145" s="143"/>
      <c r="AK145" s="143"/>
      <c r="AL145" s="143"/>
      <c r="AM145" s="143"/>
      <c r="AN145" s="143"/>
      <c r="AO145" s="143"/>
      <c r="AP145" s="143"/>
      <c r="AQ145" s="57"/>
    </row>
    <row r="146" spans="1:43" ht="20.100000000000001" customHeight="1" x14ac:dyDescent="0.4">
      <c r="A146" s="57"/>
      <c r="B146" s="59"/>
      <c r="C146" s="60"/>
      <c r="D146" s="60"/>
      <c r="E146" s="60"/>
      <c r="F146" s="143"/>
      <c r="G146" s="143"/>
      <c r="H146" s="143"/>
      <c r="I146" s="143"/>
      <c r="J146" s="107"/>
      <c r="K146" s="107"/>
      <c r="L146" s="107"/>
      <c r="M146" s="107"/>
      <c r="N146" s="107"/>
      <c r="O146" s="107"/>
      <c r="P146" s="107"/>
      <c r="Q146" s="61"/>
      <c r="R146" s="61"/>
      <c r="S146" s="61"/>
      <c r="T146" s="61"/>
      <c r="U146" s="61"/>
      <c r="V146" s="61"/>
      <c r="W146" s="61"/>
      <c r="X146" s="107"/>
      <c r="Y146" s="107"/>
      <c r="Z146" s="107"/>
      <c r="AA146" s="107"/>
      <c r="AB146" s="107"/>
      <c r="AC146" s="107"/>
      <c r="AD146" s="107"/>
      <c r="AE146" s="143"/>
      <c r="AF146" s="143"/>
      <c r="AG146" s="143"/>
      <c r="AH146" s="143"/>
      <c r="AI146" s="143"/>
      <c r="AJ146" s="143"/>
      <c r="AK146" s="143"/>
      <c r="AL146" s="143"/>
      <c r="AM146" s="143"/>
      <c r="AN146" s="143"/>
      <c r="AO146" s="143"/>
      <c r="AP146" s="143"/>
      <c r="AQ146" s="57"/>
    </row>
    <row r="147" spans="1:43" ht="20.100000000000001" customHeight="1" x14ac:dyDescent="0.4">
      <c r="A147" s="57"/>
      <c r="B147" s="59"/>
      <c r="C147" s="60"/>
      <c r="D147" s="60"/>
      <c r="E147" s="60"/>
      <c r="F147" s="57"/>
      <c r="G147" s="143"/>
      <c r="H147" s="143"/>
      <c r="I147" s="143"/>
      <c r="J147" s="61"/>
      <c r="K147" s="107"/>
      <c r="L147" s="107"/>
      <c r="M147" s="107"/>
      <c r="N147" s="107"/>
      <c r="O147" s="107"/>
      <c r="P147" s="107"/>
      <c r="Q147" s="61"/>
      <c r="R147" s="61"/>
      <c r="S147" s="61"/>
      <c r="T147" s="61"/>
      <c r="U147" s="61"/>
      <c r="V147" s="61"/>
      <c r="W147" s="61"/>
      <c r="X147" s="61"/>
      <c r="Y147" s="107"/>
      <c r="Z147" s="107"/>
      <c r="AA147" s="107"/>
      <c r="AB147" s="107"/>
      <c r="AC147" s="107"/>
      <c r="AD147" s="107"/>
      <c r="AE147" s="57"/>
      <c r="AF147" s="143"/>
      <c r="AG147" s="143"/>
      <c r="AH147" s="143"/>
      <c r="AI147" s="61"/>
      <c r="AJ147" s="143"/>
      <c r="AK147" s="143"/>
      <c r="AL147" s="143"/>
      <c r="AM147" s="143"/>
      <c r="AN147" s="143"/>
      <c r="AO147" s="143"/>
      <c r="AP147" s="143"/>
      <c r="AQ147" s="57"/>
    </row>
    <row r="148" spans="1:43" ht="20.100000000000001" customHeight="1" x14ac:dyDescent="0.4">
      <c r="A148" s="57"/>
      <c r="B148" s="59"/>
      <c r="C148" s="60"/>
      <c r="D148" s="60"/>
      <c r="E148" s="60"/>
      <c r="F148" s="143"/>
      <c r="G148" s="143"/>
      <c r="H148" s="143"/>
      <c r="I148" s="143"/>
      <c r="J148" s="107"/>
      <c r="K148" s="107"/>
      <c r="L148" s="107"/>
      <c r="M148" s="107"/>
      <c r="N148" s="107"/>
      <c r="O148" s="107"/>
      <c r="P148" s="107"/>
      <c r="Q148" s="61"/>
      <c r="R148" s="61"/>
      <c r="S148" s="61"/>
      <c r="T148" s="61"/>
      <c r="U148" s="61"/>
      <c r="V148" s="61"/>
      <c r="W148" s="61"/>
      <c r="X148" s="107"/>
      <c r="Y148" s="107"/>
      <c r="Z148" s="107"/>
      <c r="AA148" s="107"/>
      <c r="AB148" s="107"/>
      <c r="AC148" s="107"/>
      <c r="AD148" s="107"/>
      <c r="AE148" s="143"/>
      <c r="AF148" s="143"/>
      <c r="AG148" s="143"/>
      <c r="AH148" s="143"/>
      <c r="AI148" s="143"/>
      <c r="AJ148" s="143"/>
      <c r="AK148" s="143"/>
      <c r="AL148" s="143"/>
      <c r="AM148" s="143"/>
      <c r="AN148" s="143"/>
      <c r="AO148" s="143"/>
      <c r="AP148" s="143"/>
      <c r="AQ148" s="57"/>
    </row>
    <row r="149" spans="1:43" ht="20.100000000000001" customHeight="1" x14ac:dyDescent="0.4">
      <c r="A149" s="57"/>
      <c r="B149" s="59"/>
      <c r="C149" s="60"/>
      <c r="D149" s="60"/>
      <c r="E149" s="60"/>
      <c r="F149" s="57"/>
      <c r="G149" s="143"/>
      <c r="H149" s="143"/>
      <c r="I149" s="143"/>
      <c r="J149" s="61"/>
      <c r="K149" s="107"/>
      <c r="L149" s="107"/>
      <c r="M149" s="107"/>
      <c r="N149" s="107"/>
      <c r="O149" s="107"/>
      <c r="P149" s="107"/>
      <c r="Q149" s="61"/>
      <c r="R149" s="61"/>
      <c r="S149" s="61"/>
      <c r="T149" s="61"/>
      <c r="U149" s="61"/>
      <c r="V149" s="61"/>
      <c r="W149" s="61"/>
      <c r="X149" s="61"/>
      <c r="Y149" s="107"/>
      <c r="Z149" s="107"/>
      <c r="AA149" s="107"/>
      <c r="AB149" s="107"/>
      <c r="AC149" s="107"/>
      <c r="AD149" s="107"/>
      <c r="AE149" s="57"/>
      <c r="AF149" s="143"/>
      <c r="AG149" s="143"/>
      <c r="AH149" s="143"/>
      <c r="AI149" s="61"/>
      <c r="AJ149" s="143"/>
      <c r="AK149" s="143"/>
      <c r="AL149" s="143"/>
      <c r="AM149" s="143"/>
      <c r="AN149" s="143"/>
      <c r="AO149" s="143"/>
      <c r="AP149" s="143"/>
      <c r="AQ149" s="57"/>
    </row>
    <row r="150" spans="1:43" ht="20.100000000000001" customHeight="1" x14ac:dyDescent="0.4">
      <c r="A150" s="57"/>
      <c r="B150" s="59"/>
      <c r="C150" s="60"/>
      <c r="D150" s="60"/>
      <c r="E150" s="60"/>
      <c r="F150" s="143"/>
      <c r="G150" s="143"/>
      <c r="H150" s="143"/>
      <c r="I150" s="143"/>
      <c r="J150" s="107"/>
      <c r="K150" s="107"/>
      <c r="L150" s="107"/>
      <c r="M150" s="107"/>
      <c r="N150" s="107"/>
      <c r="O150" s="107"/>
      <c r="P150" s="107"/>
      <c r="Q150" s="61"/>
      <c r="R150" s="61"/>
      <c r="S150" s="61"/>
      <c r="T150" s="61"/>
      <c r="U150" s="61"/>
      <c r="V150" s="61"/>
      <c r="W150" s="61"/>
      <c r="X150" s="107"/>
      <c r="Y150" s="107"/>
      <c r="Z150" s="107"/>
      <c r="AA150" s="107"/>
      <c r="AB150" s="107"/>
      <c r="AC150" s="107"/>
      <c r="AD150" s="107"/>
      <c r="AE150" s="143"/>
      <c r="AF150" s="143"/>
      <c r="AG150" s="143"/>
      <c r="AH150" s="143"/>
      <c r="AI150" s="143"/>
      <c r="AJ150" s="143"/>
      <c r="AK150" s="143"/>
      <c r="AL150" s="143"/>
      <c r="AM150" s="143"/>
      <c r="AN150" s="143"/>
      <c r="AO150" s="143"/>
      <c r="AP150" s="143"/>
      <c r="AQ150" s="57"/>
    </row>
    <row r="151" spans="1:43" s="55" customFormat="1" ht="15.75" customHeight="1" x14ac:dyDescent="0.4">
      <c r="A151" s="58"/>
      <c r="B151" s="59"/>
      <c r="C151" s="60"/>
      <c r="D151" s="60"/>
      <c r="E151" s="60"/>
      <c r="F151" s="59"/>
      <c r="G151" s="59"/>
      <c r="H151" s="59"/>
      <c r="I151" s="59"/>
      <c r="J151" s="59"/>
      <c r="K151" s="61"/>
      <c r="L151" s="61"/>
      <c r="M151" s="62"/>
      <c r="N151" s="63"/>
      <c r="O151" s="62"/>
      <c r="P151" s="61"/>
      <c r="Q151" s="61"/>
      <c r="R151" s="59"/>
      <c r="S151" s="59"/>
      <c r="T151" s="59"/>
      <c r="U151" s="59"/>
      <c r="V151" s="59"/>
      <c r="W151" s="66"/>
      <c r="X151" s="66"/>
      <c r="Y151" s="66"/>
      <c r="Z151" s="66"/>
      <c r="AA151" s="66"/>
      <c r="AB151" s="66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</row>
    <row r="152" spans="1:43" ht="20.25" customHeight="1" x14ac:dyDescent="0.4">
      <c r="A152" s="57"/>
      <c r="B152" s="57"/>
      <c r="C152" s="57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9"/>
      <c r="S152" s="109"/>
      <c r="T152" s="109"/>
      <c r="U152" s="109"/>
      <c r="V152" s="109"/>
      <c r="W152" s="109"/>
      <c r="X152" s="109"/>
      <c r="Y152" s="109"/>
      <c r="Z152" s="109"/>
      <c r="AA152" s="110"/>
      <c r="AB152" s="110"/>
      <c r="AC152" s="110"/>
      <c r="AD152" s="110"/>
      <c r="AE152" s="110"/>
      <c r="AF152" s="110"/>
      <c r="AG152" s="110"/>
      <c r="AH152" s="110"/>
      <c r="AI152" s="110"/>
      <c r="AJ152" s="110"/>
      <c r="AK152" s="110"/>
      <c r="AL152" s="110"/>
      <c r="AM152" s="110"/>
      <c r="AN152" s="57"/>
      <c r="AO152" s="57"/>
      <c r="AP152" s="57"/>
      <c r="AQ152" s="57"/>
    </row>
    <row r="153" spans="1:43" ht="30" customHeight="1" x14ac:dyDescent="0.4">
      <c r="A153" s="57"/>
      <c r="B153" s="57"/>
      <c r="C153" s="57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9"/>
      <c r="S153" s="109"/>
      <c r="T153" s="109"/>
      <c r="U153" s="109"/>
      <c r="V153" s="109"/>
      <c r="W153" s="109"/>
      <c r="X153" s="109"/>
      <c r="Y153" s="109"/>
      <c r="Z153" s="109"/>
      <c r="AA153" s="111"/>
      <c r="AB153" s="111"/>
      <c r="AC153" s="111"/>
      <c r="AD153" s="112"/>
      <c r="AE153" s="112"/>
      <c r="AF153" s="112"/>
      <c r="AG153" s="112"/>
      <c r="AH153" s="112"/>
      <c r="AI153" s="112"/>
      <c r="AJ153" s="112"/>
      <c r="AK153" s="112"/>
      <c r="AL153" s="112"/>
      <c r="AM153" s="112"/>
      <c r="AN153" s="57"/>
      <c r="AO153" s="57"/>
      <c r="AP153" s="57"/>
      <c r="AQ153" s="57"/>
    </row>
    <row r="154" spans="1:43" ht="30" customHeight="1" x14ac:dyDescent="0.4">
      <c r="A154" s="57"/>
      <c r="B154" s="57"/>
      <c r="C154" s="57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9"/>
      <c r="S154" s="109"/>
      <c r="T154" s="109"/>
      <c r="U154" s="109"/>
      <c r="V154" s="109"/>
      <c r="W154" s="109"/>
      <c r="X154" s="109"/>
      <c r="Y154" s="109"/>
      <c r="Z154" s="109"/>
      <c r="AA154" s="110"/>
      <c r="AB154" s="110"/>
      <c r="AC154" s="110"/>
      <c r="AD154" s="113"/>
      <c r="AE154" s="113"/>
      <c r="AF154" s="113"/>
      <c r="AG154" s="113"/>
      <c r="AH154" s="113"/>
      <c r="AI154" s="113"/>
      <c r="AJ154" s="113"/>
      <c r="AK154" s="113"/>
      <c r="AL154" s="113"/>
      <c r="AM154" s="113"/>
      <c r="AN154" s="57"/>
      <c r="AO154" s="57"/>
      <c r="AP154" s="57"/>
      <c r="AQ154" s="57"/>
    </row>
    <row r="155" spans="1:43" ht="30" customHeight="1" x14ac:dyDescent="0.4">
      <c r="A155" s="57"/>
      <c r="B155" s="57"/>
      <c r="C155" s="57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9"/>
      <c r="S155" s="109"/>
      <c r="T155" s="109"/>
      <c r="U155" s="109"/>
      <c r="V155" s="109"/>
      <c r="W155" s="109"/>
      <c r="X155" s="109"/>
      <c r="Y155" s="109"/>
      <c r="Z155" s="109"/>
      <c r="AA155" s="110"/>
      <c r="AB155" s="110"/>
      <c r="AC155" s="110"/>
      <c r="AD155" s="113"/>
      <c r="AE155" s="113"/>
      <c r="AF155" s="113"/>
      <c r="AG155" s="113"/>
      <c r="AH155" s="113"/>
      <c r="AI155" s="113"/>
      <c r="AJ155" s="113"/>
      <c r="AK155" s="113"/>
      <c r="AL155" s="113"/>
      <c r="AM155" s="113"/>
      <c r="AN155" s="57"/>
      <c r="AO155" s="57"/>
      <c r="AP155" s="57"/>
      <c r="AQ155" s="57"/>
    </row>
  </sheetData>
  <mergeCells count="536">
    <mergeCell ref="J124:Q124"/>
    <mergeCell ref="R124:Z124"/>
    <mergeCell ref="AA124:AC124"/>
    <mergeCell ref="AD124:AM124"/>
    <mergeCell ref="J123:Q123"/>
    <mergeCell ref="R123:Z123"/>
    <mergeCell ref="AA123:AC123"/>
    <mergeCell ref="AD123:AM123"/>
    <mergeCell ref="D124:I124"/>
    <mergeCell ref="J122:Q122"/>
    <mergeCell ref="R122:Z122"/>
    <mergeCell ref="AA122:AC122"/>
    <mergeCell ref="AD122:AM122"/>
    <mergeCell ref="D123:I123"/>
    <mergeCell ref="J121:Q121"/>
    <mergeCell ref="R121:Z121"/>
    <mergeCell ref="AA121:AC121"/>
    <mergeCell ref="AD121:AM121"/>
    <mergeCell ref="D122:I122"/>
    <mergeCell ref="D121:I121"/>
    <mergeCell ref="J118:P119"/>
    <mergeCell ref="Q118:R119"/>
    <mergeCell ref="V118:W119"/>
    <mergeCell ref="X118:AD119"/>
    <mergeCell ref="AE118:AH119"/>
    <mergeCell ref="AI118:AP119"/>
    <mergeCell ref="B118:B119"/>
    <mergeCell ref="C118:E119"/>
    <mergeCell ref="F118:I119"/>
    <mergeCell ref="J116:P117"/>
    <mergeCell ref="Q116:R117"/>
    <mergeCell ref="V116:W117"/>
    <mergeCell ref="X116:AD117"/>
    <mergeCell ref="AE116:AH117"/>
    <mergeCell ref="AI116:AP117"/>
    <mergeCell ref="B116:B117"/>
    <mergeCell ref="C116:E117"/>
    <mergeCell ref="F116:I117"/>
    <mergeCell ref="J114:P115"/>
    <mergeCell ref="Q114:R115"/>
    <mergeCell ref="V114:W115"/>
    <mergeCell ref="X114:AD115"/>
    <mergeCell ref="AE114:AH115"/>
    <mergeCell ref="AI114:AP115"/>
    <mergeCell ref="B114:B115"/>
    <mergeCell ref="C114:E115"/>
    <mergeCell ref="F114:I115"/>
    <mergeCell ref="J112:P113"/>
    <mergeCell ref="Q112:R113"/>
    <mergeCell ref="V112:W113"/>
    <mergeCell ref="X112:AD113"/>
    <mergeCell ref="AE112:AH113"/>
    <mergeCell ref="AI112:AP113"/>
    <mergeCell ref="B112:B113"/>
    <mergeCell ref="C112:E113"/>
    <mergeCell ref="F112:I113"/>
    <mergeCell ref="J110:P111"/>
    <mergeCell ref="Q110:R111"/>
    <mergeCell ref="V110:W111"/>
    <mergeCell ref="X110:AD111"/>
    <mergeCell ref="AE110:AH111"/>
    <mergeCell ref="AI110:AP111"/>
    <mergeCell ref="B110:B111"/>
    <mergeCell ref="C110:E111"/>
    <mergeCell ref="F110:I111"/>
    <mergeCell ref="J108:P109"/>
    <mergeCell ref="Q108:R109"/>
    <mergeCell ref="V108:W109"/>
    <mergeCell ref="X108:AD109"/>
    <mergeCell ref="AE108:AH109"/>
    <mergeCell ref="AI108:AP109"/>
    <mergeCell ref="B108:B109"/>
    <mergeCell ref="C108:E109"/>
    <mergeCell ref="F108:I109"/>
    <mergeCell ref="V106:W107"/>
    <mergeCell ref="X106:AD107"/>
    <mergeCell ref="AE106:AH107"/>
    <mergeCell ref="AI106:AP107"/>
    <mergeCell ref="B106:B107"/>
    <mergeCell ref="C106:E107"/>
    <mergeCell ref="F106:I107"/>
    <mergeCell ref="J106:P107"/>
    <mergeCell ref="Q106:R107"/>
    <mergeCell ref="AE105:AH105"/>
    <mergeCell ref="AI105:AP105"/>
    <mergeCell ref="C105:E105"/>
    <mergeCell ref="F105:I105"/>
    <mergeCell ref="J105:P105"/>
    <mergeCell ref="Q105:W105"/>
    <mergeCell ref="X105:AD105"/>
    <mergeCell ref="C103:D103"/>
    <mergeCell ref="E103:N103"/>
    <mergeCell ref="Q103:R103"/>
    <mergeCell ref="S103:AB103"/>
    <mergeCell ref="AE103:AF103"/>
    <mergeCell ref="AG103:AP103"/>
    <mergeCell ref="C102:D102"/>
    <mergeCell ref="E102:N102"/>
    <mergeCell ref="Q102:R102"/>
    <mergeCell ref="S102:AB102"/>
    <mergeCell ref="AE102:AF102"/>
    <mergeCell ref="AG102:AP102"/>
    <mergeCell ref="C101:D101"/>
    <mergeCell ref="E101:N101"/>
    <mergeCell ref="Q101:R101"/>
    <mergeCell ref="S101:AB101"/>
    <mergeCell ref="AE101:AF101"/>
    <mergeCell ref="AG101:AP101"/>
    <mergeCell ref="C100:D100"/>
    <mergeCell ref="E100:N100"/>
    <mergeCell ref="Q100:R100"/>
    <mergeCell ref="S100:AB100"/>
    <mergeCell ref="AE100:AF100"/>
    <mergeCell ref="AG100:AP100"/>
    <mergeCell ref="C99:D99"/>
    <mergeCell ref="E99:N99"/>
    <mergeCell ref="Q99:R99"/>
    <mergeCell ref="S99:AB99"/>
    <mergeCell ref="AE99:AF99"/>
    <mergeCell ref="AG99:AP99"/>
    <mergeCell ref="Q98:R98"/>
    <mergeCell ref="S98:AB98"/>
    <mergeCell ref="AE98:AF98"/>
    <mergeCell ref="AG98:AP98"/>
    <mergeCell ref="AG96:AL96"/>
    <mergeCell ref="AM96:AO96"/>
    <mergeCell ref="C98:D98"/>
    <mergeCell ref="E98:N98"/>
    <mergeCell ref="C96:F96"/>
    <mergeCell ref="G96:O96"/>
    <mergeCell ref="P96:S96"/>
    <mergeCell ref="T96:AB96"/>
    <mergeCell ref="AC96:AF96"/>
    <mergeCell ref="J93:Q93"/>
    <mergeCell ref="R93:Z93"/>
    <mergeCell ref="AA93:AC93"/>
    <mergeCell ref="AD93:AM93"/>
    <mergeCell ref="A94:AQ95"/>
    <mergeCell ref="J92:Q92"/>
    <mergeCell ref="R92:Z92"/>
    <mergeCell ref="AA92:AC92"/>
    <mergeCell ref="AD92:AM92"/>
    <mergeCell ref="D93:I93"/>
    <mergeCell ref="J91:Q91"/>
    <mergeCell ref="R91:Z91"/>
    <mergeCell ref="AA91:AC91"/>
    <mergeCell ref="AD91:AM91"/>
    <mergeCell ref="D92:I92"/>
    <mergeCell ref="J90:Q90"/>
    <mergeCell ref="R90:Z90"/>
    <mergeCell ref="AA90:AC90"/>
    <mergeCell ref="AD90:AM90"/>
    <mergeCell ref="D91:I91"/>
    <mergeCell ref="D90:I90"/>
    <mergeCell ref="J87:P88"/>
    <mergeCell ref="Q87:R88"/>
    <mergeCell ref="V87:W88"/>
    <mergeCell ref="X87:AD88"/>
    <mergeCell ref="AE87:AH88"/>
    <mergeCell ref="AI87:AP88"/>
    <mergeCell ref="B87:B88"/>
    <mergeCell ref="C87:E88"/>
    <mergeCell ref="F87:I88"/>
    <mergeCell ref="J85:P86"/>
    <mergeCell ref="Q85:R86"/>
    <mergeCell ref="V85:W86"/>
    <mergeCell ref="X85:AD86"/>
    <mergeCell ref="AE85:AH86"/>
    <mergeCell ref="AI85:AP86"/>
    <mergeCell ref="B85:B86"/>
    <mergeCell ref="C85:E86"/>
    <mergeCell ref="F85:I86"/>
    <mergeCell ref="J83:P84"/>
    <mergeCell ref="Q83:R84"/>
    <mergeCell ref="V83:W84"/>
    <mergeCell ref="X83:AD84"/>
    <mergeCell ref="AE83:AH84"/>
    <mergeCell ref="AI83:AP84"/>
    <mergeCell ref="B83:B84"/>
    <mergeCell ref="C83:E84"/>
    <mergeCell ref="F83:I84"/>
    <mergeCell ref="J81:P82"/>
    <mergeCell ref="Q81:R82"/>
    <mergeCell ref="V81:W82"/>
    <mergeCell ref="X81:AD82"/>
    <mergeCell ref="AE81:AH82"/>
    <mergeCell ref="AI81:AP82"/>
    <mergeCell ref="B81:B82"/>
    <mergeCell ref="C81:E82"/>
    <mergeCell ref="F81:I82"/>
    <mergeCell ref="J79:P80"/>
    <mergeCell ref="Q79:R80"/>
    <mergeCell ref="V79:W80"/>
    <mergeCell ref="X79:AD80"/>
    <mergeCell ref="AE79:AH80"/>
    <mergeCell ref="AI79:AP80"/>
    <mergeCell ref="B79:B80"/>
    <mergeCell ref="C79:E80"/>
    <mergeCell ref="F79:I80"/>
    <mergeCell ref="J77:P78"/>
    <mergeCell ref="Q77:R78"/>
    <mergeCell ref="V77:W78"/>
    <mergeCell ref="X77:AD78"/>
    <mergeCell ref="AE77:AH78"/>
    <mergeCell ref="AI77:AP78"/>
    <mergeCell ref="B77:B78"/>
    <mergeCell ref="C77:E78"/>
    <mergeCell ref="F77:I78"/>
    <mergeCell ref="V75:W76"/>
    <mergeCell ref="X75:AD76"/>
    <mergeCell ref="AE75:AH76"/>
    <mergeCell ref="AI75:AP76"/>
    <mergeCell ref="B75:B76"/>
    <mergeCell ref="C75:E76"/>
    <mergeCell ref="F75:I76"/>
    <mergeCell ref="J75:P76"/>
    <mergeCell ref="Q75:R76"/>
    <mergeCell ref="AE74:AH74"/>
    <mergeCell ref="AI74:AP74"/>
    <mergeCell ref="C74:E74"/>
    <mergeCell ref="F74:I74"/>
    <mergeCell ref="J74:P74"/>
    <mergeCell ref="Q74:W74"/>
    <mergeCell ref="X74:AD74"/>
    <mergeCell ref="C72:D72"/>
    <mergeCell ref="E72:N72"/>
    <mergeCell ref="Q72:R72"/>
    <mergeCell ref="S72:AB72"/>
    <mergeCell ref="AE72:AF72"/>
    <mergeCell ref="AG72:AP72"/>
    <mergeCell ref="C71:D71"/>
    <mergeCell ref="E71:N71"/>
    <mergeCell ref="Q71:R71"/>
    <mergeCell ref="S71:AB71"/>
    <mergeCell ref="AE71:AF71"/>
    <mergeCell ref="AG71:AP71"/>
    <mergeCell ref="C70:D70"/>
    <mergeCell ref="E70:N70"/>
    <mergeCell ref="Q70:R70"/>
    <mergeCell ref="S70:AB70"/>
    <mergeCell ref="AE70:AF70"/>
    <mergeCell ref="AG70:AP70"/>
    <mergeCell ref="C69:D69"/>
    <mergeCell ref="E69:N69"/>
    <mergeCell ref="Q69:R69"/>
    <mergeCell ref="S69:AB69"/>
    <mergeCell ref="AE69:AF69"/>
    <mergeCell ref="AG69:AP69"/>
    <mergeCell ref="C68:D68"/>
    <mergeCell ref="E68:N68"/>
    <mergeCell ref="Q68:R68"/>
    <mergeCell ref="S68:AB68"/>
    <mergeCell ref="AE68:AF68"/>
    <mergeCell ref="AG68:AP68"/>
    <mergeCell ref="Q67:R67"/>
    <mergeCell ref="S67:AB67"/>
    <mergeCell ref="AE67:AF67"/>
    <mergeCell ref="AG67:AP67"/>
    <mergeCell ref="AG65:AL65"/>
    <mergeCell ref="AM65:AO65"/>
    <mergeCell ref="C67:D67"/>
    <mergeCell ref="E67:N67"/>
    <mergeCell ref="C65:F65"/>
    <mergeCell ref="G65:O65"/>
    <mergeCell ref="P65:S65"/>
    <mergeCell ref="T65:AB65"/>
    <mergeCell ref="AC65:AF65"/>
    <mergeCell ref="J62:Q62"/>
    <mergeCell ref="R62:Z62"/>
    <mergeCell ref="AA62:AC62"/>
    <mergeCell ref="AD62:AM62"/>
    <mergeCell ref="A63:AQ64"/>
    <mergeCell ref="J61:Q61"/>
    <mergeCell ref="R61:Z61"/>
    <mergeCell ref="AA61:AC61"/>
    <mergeCell ref="AD61:AM61"/>
    <mergeCell ref="D62:I62"/>
    <mergeCell ref="J60:Q60"/>
    <mergeCell ref="R60:Z60"/>
    <mergeCell ref="AA60:AC60"/>
    <mergeCell ref="AD60:AM60"/>
    <mergeCell ref="D61:I61"/>
    <mergeCell ref="J59:Q59"/>
    <mergeCell ref="R59:Z59"/>
    <mergeCell ref="AA59:AC59"/>
    <mergeCell ref="AD59:AM59"/>
    <mergeCell ref="D60:I60"/>
    <mergeCell ref="D59:I59"/>
    <mergeCell ref="J56:P57"/>
    <mergeCell ref="Q56:R57"/>
    <mergeCell ref="V56:W57"/>
    <mergeCell ref="X56:AD57"/>
    <mergeCell ref="AE56:AH57"/>
    <mergeCell ref="AI56:AP57"/>
    <mergeCell ref="B56:B57"/>
    <mergeCell ref="C56:E57"/>
    <mergeCell ref="F56:I57"/>
    <mergeCell ref="J54:P55"/>
    <mergeCell ref="Q54:R55"/>
    <mergeCell ref="V54:W55"/>
    <mergeCell ref="X54:AD55"/>
    <mergeCell ref="AE54:AH55"/>
    <mergeCell ref="AI54:AP55"/>
    <mergeCell ref="B54:B55"/>
    <mergeCell ref="C54:E55"/>
    <mergeCell ref="F54:I55"/>
    <mergeCell ref="J52:P53"/>
    <mergeCell ref="Q52:R53"/>
    <mergeCell ref="V52:W53"/>
    <mergeCell ref="X52:AD53"/>
    <mergeCell ref="AE52:AH53"/>
    <mergeCell ref="AI52:AP53"/>
    <mergeCell ref="B52:B53"/>
    <mergeCell ref="C52:E53"/>
    <mergeCell ref="F52:I53"/>
    <mergeCell ref="J50:P51"/>
    <mergeCell ref="Q50:R51"/>
    <mergeCell ref="V50:W51"/>
    <mergeCell ref="X50:AD51"/>
    <mergeCell ref="AE50:AH51"/>
    <mergeCell ref="AI50:AP51"/>
    <mergeCell ref="B50:B51"/>
    <mergeCell ref="C50:E51"/>
    <mergeCell ref="F50:I51"/>
    <mergeCell ref="J48:P49"/>
    <mergeCell ref="Q48:R49"/>
    <mergeCell ref="V48:W49"/>
    <mergeCell ref="X48:AD49"/>
    <mergeCell ref="AE48:AH49"/>
    <mergeCell ref="AI48:AP49"/>
    <mergeCell ref="B48:B49"/>
    <mergeCell ref="C48:E49"/>
    <mergeCell ref="F48:I49"/>
    <mergeCell ref="J46:P47"/>
    <mergeCell ref="Q46:R47"/>
    <mergeCell ref="V46:W47"/>
    <mergeCell ref="X46:AD47"/>
    <mergeCell ref="AE46:AH47"/>
    <mergeCell ref="AI46:AP47"/>
    <mergeCell ref="B46:B47"/>
    <mergeCell ref="C46:E47"/>
    <mergeCell ref="F46:I47"/>
    <mergeCell ref="V44:W45"/>
    <mergeCell ref="X44:AD45"/>
    <mergeCell ref="AE44:AH45"/>
    <mergeCell ref="AI44:AP45"/>
    <mergeCell ref="B44:B45"/>
    <mergeCell ref="C44:E45"/>
    <mergeCell ref="F44:I45"/>
    <mergeCell ref="J44:P45"/>
    <mergeCell ref="Q44:R45"/>
    <mergeCell ref="AE43:AH43"/>
    <mergeCell ref="AI43:AP43"/>
    <mergeCell ref="C43:E43"/>
    <mergeCell ref="F43:I43"/>
    <mergeCell ref="J43:P43"/>
    <mergeCell ref="Q43:W43"/>
    <mergeCell ref="X43:AD43"/>
    <mergeCell ref="C41:D41"/>
    <mergeCell ref="E41:N41"/>
    <mergeCell ref="Q41:R41"/>
    <mergeCell ref="S41:AB41"/>
    <mergeCell ref="AE41:AF41"/>
    <mergeCell ref="AG41:AP41"/>
    <mergeCell ref="C40:D40"/>
    <mergeCell ref="E40:N40"/>
    <mergeCell ref="Q40:R40"/>
    <mergeCell ref="S40:AB40"/>
    <mergeCell ref="AE40:AF40"/>
    <mergeCell ref="AG40:AP40"/>
    <mergeCell ref="C39:D39"/>
    <mergeCell ref="E39:N39"/>
    <mergeCell ref="Q39:R39"/>
    <mergeCell ref="S39:AB39"/>
    <mergeCell ref="AE39:AF39"/>
    <mergeCell ref="AG39:AP39"/>
    <mergeCell ref="C38:D38"/>
    <mergeCell ref="E38:N38"/>
    <mergeCell ref="Q38:R38"/>
    <mergeCell ref="S38:AB38"/>
    <mergeCell ref="AE38:AF38"/>
    <mergeCell ref="AG38:AP38"/>
    <mergeCell ref="C37:D37"/>
    <mergeCell ref="E37:N37"/>
    <mergeCell ref="Q37:R37"/>
    <mergeCell ref="S37:AB37"/>
    <mergeCell ref="AE37:AF37"/>
    <mergeCell ref="AG37:AP37"/>
    <mergeCell ref="Q36:R36"/>
    <mergeCell ref="S36:AB36"/>
    <mergeCell ref="AE36:AF36"/>
    <mergeCell ref="AG36:AP36"/>
    <mergeCell ref="AG34:AL34"/>
    <mergeCell ref="AM34:AO34"/>
    <mergeCell ref="C36:D36"/>
    <mergeCell ref="E36:N36"/>
    <mergeCell ref="C34:F34"/>
    <mergeCell ref="G34:O34"/>
    <mergeCell ref="P34:S34"/>
    <mergeCell ref="T34:AB34"/>
    <mergeCell ref="AC34:AF34"/>
    <mergeCell ref="J31:Q31"/>
    <mergeCell ref="R31:Z31"/>
    <mergeCell ref="AA31:AC31"/>
    <mergeCell ref="AD31:AM31"/>
    <mergeCell ref="A32:AQ33"/>
    <mergeCell ref="J30:Q30"/>
    <mergeCell ref="R30:Z30"/>
    <mergeCell ref="AA30:AC30"/>
    <mergeCell ref="AD30:AM30"/>
    <mergeCell ref="D31:I31"/>
    <mergeCell ref="J29:Q29"/>
    <mergeCell ref="R29:Z29"/>
    <mergeCell ref="AA29:AC29"/>
    <mergeCell ref="AD29:AM29"/>
    <mergeCell ref="D30:I30"/>
    <mergeCell ref="J28:Q28"/>
    <mergeCell ref="R28:Z28"/>
    <mergeCell ref="AA28:AC28"/>
    <mergeCell ref="AD28:AM28"/>
    <mergeCell ref="D29:I29"/>
    <mergeCell ref="D28:I28"/>
    <mergeCell ref="J25:P26"/>
    <mergeCell ref="Q25:R26"/>
    <mergeCell ref="V25:W26"/>
    <mergeCell ref="X25:AD26"/>
    <mergeCell ref="AE25:AH26"/>
    <mergeCell ref="AI25:AP26"/>
    <mergeCell ref="B25:B26"/>
    <mergeCell ref="C25:E26"/>
    <mergeCell ref="F25:I26"/>
    <mergeCell ref="J23:P24"/>
    <mergeCell ref="Q23:R24"/>
    <mergeCell ref="V23:W24"/>
    <mergeCell ref="X23:AD24"/>
    <mergeCell ref="AE23:AH24"/>
    <mergeCell ref="AI23:AP24"/>
    <mergeCell ref="B23:B24"/>
    <mergeCell ref="C23:E24"/>
    <mergeCell ref="F23:I24"/>
    <mergeCell ref="J21:P22"/>
    <mergeCell ref="Q21:R22"/>
    <mergeCell ref="V21:W22"/>
    <mergeCell ref="X21:AD22"/>
    <mergeCell ref="AE21:AH22"/>
    <mergeCell ref="AI21:AP22"/>
    <mergeCell ref="B21:B22"/>
    <mergeCell ref="C21:E22"/>
    <mergeCell ref="F21:I22"/>
    <mergeCell ref="J19:P20"/>
    <mergeCell ref="Q19:R20"/>
    <mergeCell ref="V19:W20"/>
    <mergeCell ref="X19:AD20"/>
    <mergeCell ref="AE19:AH20"/>
    <mergeCell ref="AI19:AP20"/>
    <mergeCell ref="B19:B20"/>
    <mergeCell ref="C19:E20"/>
    <mergeCell ref="F19:I20"/>
    <mergeCell ref="J17:P18"/>
    <mergeCell ref="Q17:R18"/>
    <mergeCell ref="V17:W18"/>
    <mergeCell ref="X17:AD18"/>
    <mergeCell ref="AE17:AH18"/>
    <mergeCell ref="AI17:AP18"/>
    <mergeCell ref="B17:B18"/>
    <mergeCell ref="C17:E18"/>
    <mergeCell ref="F17:I18"/>
    <mergeCell ref="J15:P16"/>
    <mergeCell ref="Q15:R16"/>
    <mergeCell ref="V15:W16"/>
    <mergeCell ref="X15:AD16"/>
    <mergeCell ref="AE15:AH16"/>
    <mergeCell ref="AI15:AP16"/>
    <mergeCell ref="B15:B16"/>
    <mergeCell ref="C15:E16"/>
    <mergeCell ref="F15:I16"/>
    <mergeCell ref="V13:W14"/>
    <mergeCell ref="X13:AD14"/>
    <mergeCell ref="AE13:AH14"/>
    <mergeCell ref="AI13:AP14"/>
    <mergeCell ref="B13:B14"/>
    <mergeCell ref="C13:E14"/>
    <mergeCell ref="F13:I14"/>
    <mergeCell ref="J13:P14"/>
    <mergeCell ref="Q13:R14"/>
    <mergeCell ref="AE12:AH12"/>
    <mergeCell ref="AI12:AP12"/>
    <mergeCell ref="C12:E12"/>
    <mergeCell ref="F12:I12"/>
    <mergeCell ref="J12:P12"/>
    <mergeCell ref="Q12:W12"/>
    <mergeCell ref="X12:AD12"/>
    <mergeCell ref="C10:D10"/>
    <mergeCell ref="E10:N10"/>
    <mergeCell ref="Q10:R10"/>
    <mergeCell ref="S10:AB10"/>
    <mergeCell ref="AE10:AF10"/>
    <mergeCell ref="AG10:AP10"/>
    <mergeCell ref="C9:D9"/>
    <mergeCell ref="E9:N9"/>
    <mergeCell ref="Q9:R9"/>
    <mergeCell ref="S9:AB9"/>
    <mergeCell ref="AE9:AF9"/>
    <mergeCell ref="AG9:AP9"/>
    <mergeCell ref="C8:D8"/>
    <mergeCell ref="E8:N8"/>
    <mergeCell ref="Q8:R8"/>
    <mergeCell ref="S8:AB8"/>
    <mergeCell ref="AE8:AF8"/>
    <mergeCell ref="AG8:AP8"/>
    <mergeCell ref="C7:D7"/>
    <mergeCell ref="E7:N7"/>
    <mergeCell ref="Q7:R7"/>
    <mergeCell ref="S7:AB7"/>
    <mergeCell ref="AE7:AF7"/>
    <mergeCell ref="AG7:AP7"/>
    <mergeCell ref="C6:D6"/>
    <mergeCell ref="E6:N6"/>
    <mergeCell ref="Q6:R6"/>
    <mergeCell ref="S6:AB6"/>
    <mergeCell ref="AE6:AF6"/>
    <mergeCell ref="AG6:AP6"/>
    <mergeCell ref="A1:AQ2"/>
    <mergeCell ref="C3:F3"/>
    <mergeCell ref="C5:D5"/>
    <mergeCell ref="E5:N5"/>
    <mergeCell ref="Q5:R5"/>
    <mergeCell ref="S5:AB5"/>
    <mergeCell ref="AE5:AF5"/>
    <mergeCell ref="AG5:AP5"/>
    <mergeCell ref="G3:O3"/>
    <mergeCell ref="P3:S3"/>
    <mergeCell ref="T3:AB3"/>
    <mergeCell ref="AC3:AF3"/>
    <mergeCell ref="AG3:AL3"/>
    <mergeCell ref="AM3:AO3"/>
  </mergeCells>
  <phoneticPr fontId="53"/>
  <conditionalFormatting sqref="C5:AP7">
    <cfRule type="expression" dxfId="24" priority="8">
      <formula>IFERROR(COUNTIF($AR$13:$AS$23,C5),"")</formula>
    </cfRule>
  </conditionalFormatting>
  <conditionalFormatting sqref="C8:AP10">
    <cfRule type="expression" dxfId="23" priority="7">
      <formula>IFERROR(COUNTIF($AR$13:$AS$23,C8),"")</formula>
    </cfRule>
  </conditionalFormatting>
  <conditionalFormatting sqref="C36:AP38">
    <cfRule type="expression" dxfId="22" priority="6">
      <formula>IFERROR(COUNTIF($AR$44:$AS$54,C36),"")</formula>
    </cfRule>
  </conditionalFormatting>
  <conditionalFormatting sqref="C39:AP41">
    <cfRule type="expression" dxfId="21" priority="5">
      <formula>IFERROR(COUNTIF($AR$44:$AS$54,C39),"")</formula>
    </cfRule>
  </conditionalFormatting>
  <conditionalFormatting sqref="C67:AP69">
    <cfRule type="expression" dxfId="20" priority="4">
      <formula>IFERROR(COUNTIF($AR$75:$AS$85,C67),"")</formula>
    </cfRule>
  </conditionalFormatting>
  <conditionalFormatting sqref="C70:AP72">
    <cfRule type="expression" dxfId="19" priority="3">
      <formula>IFERROR(COUNTIF($AR$75:$AS$85,C70),"")</formula>
    </cfRule>
  </conditionalFormatting>
  <conditionalFormatting sqref="C98:AP100">
    <cfRule type="expression" dxfId="18" priority="2">
      <formula>IFERROR(COUNTIF($AR$106:$AS$116,C98),"")</formula>
    </cfRule>
  </conditionalFormatting>
  <conditionalFormatting sqref="C101:AP103">
    <cfRule type="expression" dxfId="17" priority="1">
      <formula>IFERROR(COUNTIF($AR$106:$AS$116,C101),"")</formula>
    </cfRule>
  </conditionalFormatting>
  <printOptions horizontalCentered="1" verticalCentered="1"/>
  <pageMargins left="0.39305555555555599" right="0.39305555555555599" top="0.39305555555555599" bottom="0.39305555555555599" header="0.31388888888888899" footer="0.31388888888888899"/>
  <pageSetup paperSize="9" scale="87" pageOrder="overThenDown" orientation="landscape" r:id="rId1"/>
  <rowBreaks count="3" manualBreakCount="3">
    <brk id="31" max="42" man="1"/>
    <brk id="62" max="42" man="1"/>
    <brk id="93" max="42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CH124"/>
  <sheetViews>
    <sheetView view="pageBreakPreview" topLeftCell="A32" zoomScaleNormal="75" zoomScaleSheetLayoutView="100" workbookViewId="0">
      <selection activeCell="A32" sqref="A32:AQ33"/>
    </sheetView>
  </sheetViews>
  <sheetFormatPr defaultColWidth="9" defaultRowHeight="14.25" x14ac:dyDescent="0.4"/>
  <cols>
    <col min="1" max="43" width="3.125" style="56" customWidth="1"/>
    <col min="44" max="45" width="3.125" style="56" hidden="1" customWidth="1"/>
    <col min="46" max="86" width="3.125" style="56" customWidth="1"/>
    <col min="87" max="16384" width="9" style="56"/>
  </cols>
  <sheetData>
    <row r="1" spans="1:86" ht="14.25" customHeight="1" x14ac:dyDescent="0.4">
      <c r="A1" s="451" t="s">
        <v>560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51"/>
      <c r="Z1" s="451"/>
      <c r="AA1" s="451"/>
      <c r="AB1" s="451"/>
      <c r="AC1" s="451"/>
      <c r="AD1" s="451"/>
      <c r="AE1" s="451"/>
      <c r="AF1" s="451"/>
      <c r="AG1" s="451"/>
      <c r="AH1" s="451"/>
      <c r="AI1" s="451"/>
      <c r="AJ1" s="451"/>
      <c r="AK1" s="451"/>
      <c r="AL1" s="451"/>
      <c r="AM1" s="451"/>
      <c r="AN1" s="451"/>
      <c r="AO1" s="451"/>
      <c r="AP1" s="451"/>
      <c r="AQ1" s="451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</row>
    <row r="2" spans="1:86" ht="14.25" customHeight="1" x14ac:dyDescent="0.4">
      <c r="A2" s="451"/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1"/>
      <c r="AG2" s="451"/>
      <c r="AH2" s="451"/>
      <c r="AI2" s="451"/>
      <c r="AJ2" s="451"/>
      <c r="AK2" s="451"/>
      <c r="AL2" s="451"/>
      <c r="AM2" s="451"/>
      <c r="AN2" s="451"/>
      <c r="AO2" s="451"/>
      <c r="AP2" s="451"/>
      <c r="AQ2" s="451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</row>
    <row r="3" spans="1:86" ht="27.75" customHeight="1" x14ac:dyDescent="0.4">
      <c r="C3" s="460" t="s">
        <v>8</v>
      </c>
      <c r="D3" s="460"/>
      <c r="E3" s="460"/>
      <c r="F3" s="460"/>
      <c r="G3" s="483" t="str">
        <f>U12対戦スケジュール!F17</f>
        <v>石井緑地 No.１</v>
      </c>
      <c r="H3" s="483"/>
      <c r="I3" s="483"/>
      <c r="J3" s="483"/>
      <c r="K3" s="483"/>
      <c r="L3" s="483"/>
      <c r="M3" s="483"/>
      <c r="N3" s="483"/>
      <c r="O3" s="483"/>
      <c r="P3" s="460" t="s">
        <v>0</v>
      </c>
      <c r="Q3" s="460"/>
      <c r="R3" s="460"/>
      <c r="S3" s="460"/>
      <c r="T3" s="483" t="str">
        <f>U12対戦スケジュール!F18</f>
        <v>富士見ＳＳＳ</v>
      </c>
      <c r="U3" s="483"/>
      <c r="V3" s="483"/>
      <c r="W3" s="483"/>
      <c r="X3" s="483"/>
      <c r="Y3" s="483"/>
      <c r="Z3" s="483"/>
      <c r="AA3" s="483"/>
      <c r="AB3" s="483"/>
      <c r="AC3" s="460" t="s">
        <v>9</v>
      </c>
      <c r="AD3" s="460"/>
      <c r="AE3" s="460"/>
      <c r="AF3" s="460"/>
      <c r="AG3" s="484">
        <f>U12組合せ!$B28</f>
        <v>43716</v>
      </c>
      <c r="AH3" s="485"/>
      <c r="AI3" s="485"/>
      <c r="AJ3" s="485"/>
      <c r="AK3" s="485"/>
      <c r="AL3" s="485"/>
      <c r="AM3" s="488" t="str">
        <f>"（"&amp;TEXT(AG3,"aaa")&amp;"）"</f>
        <v>（日）</v>
      </c>
      <c r="AN3" s="488"/>
      <c r="AO3" s="489"/>
      <c r="AR3" s="58"/>
      <c r="AS3" s="58"/>
      <c r="AT3" s="70"/>
      <c r="AU3" s="70"/>
      <c r="AV3" s="70"/>
      <c r="AW3" s="70"/>
      <c r="AX3" s="75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5"/>
      <c r="BL3" s="80"/>
      <c r="BM3" s="80"/>
      <c r="BN3" s="80"/>
      <c r="BO3" s="80"/>
      <c r="BP3" s="80"/>
      <c r="BQ3" s="80"/>
      <c r="BR3" s="80"/>
      <c r="BS3" s="80"/>
      <c r="BT3" s="70"/>
      <c r="BU3" s="70"/>
      <c r="BV3" s="70"/>
      <c r="BW3" s="70"/>
      <c r="BX3" s="82"/>
      <c r="BY3" s="82"/>
      <c r="BZ3" s="82"/>
      <c r="CA3" s="82"/>
      <c r="CB3" s="82"/>
      <c r="CC3" s="82"/>
      <c r="CD3" s="82"/>
      <c r="CE3" s="82"/>
      <c r="CF3" s="82"/>
      <c r="CG3" s="58"/>
      <c r="CH3" s="58"/>
    </row>
    <row r="4" spans="1:86" ht="15" customHeight="1" x14ac:dyDescent="0.4"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64"/>
      <c r="X4" s="64"/>
      <c r="Y4" s="64"/>
      <c r="Z4" s="64"/>
      <c r="AA4" s="64"/>
      <c r="AB4" s="64"/>
      <c r="AC4" s="64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68"/>
      <c r="BO4" s="68"/>
      <c r="BP4" s="68"/>
      <c r="BQ4" s="68"/>
      <c r="BR4" s="68"/>
      <c r="BS4" s="68"/>
      <c r="BT4" s="6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</row>
    <row r="5" spans="1:86" ht="18" customHeight="1" x14ac:dyDescent="0.4">
      <c r="B5" s="57"/>
      <c r="C5" s="475">
        <v>1</v>
      </c>
      <c r="D5" s="475"/>
      <c r="E5" s="476" t="str">
        <f>U12組合せ!$J$14</f>
        <v>本郷北ＦＣ</v>
      </c>
      <c r="F5" s="476"/>
      <c r="G5" s="476"/>
      <c r="H5" s="476"/>
      <c r="I5" s="476"/>
      <c r="J5" s="476"/>
      <c r="K5" s="476"/>
      <c r="L5" s="476"/>
      <c r="M5" s="476"/>
      <c r="N5" s="476"/>
      <c r="O5" s="58"/>
      <c r="P5" s="58"/>
      <c r="Q5" s="475">
        <v>2</v>
      </c>
      <c r="R5" s="475"/>
      <c r="S5" s="476" t="str">
        <f>U12組合せ!$J$15</f>
        <v>みはらＳＣjr</v>
      </c>
      <c r="T5" s="476"/>
      <c r="U5" s="476"/>
      <c r="V5" s="476"/>
      <c r="W5" s="476"/>
      <c r="X5" s="476"/>
      <c r="Y5" s="476"/>
      <c r="Z5" s="476"/>
      <c r="AA5" s="476"/>
      <c r="AB5" s="476"/>
      <c r="AC5" s="68"/>
      <c r="AD5" s="55"/>
      <c r="AE5" s="475">
        <v>3</v>
      </c>
      <c r="AF5" s="475"/>
      <c r="AG5" s="476" t="str">
        <f>U12組合せ!$J$16</f>
        <v>Ｓ４スペランツァ</v>
      </c>
      <c r="AH5" s="476"/>
      <c r="AI5" s="476"/>
      <c r="AJ5" s="476"/>
      <c r="AK5" s="476"/>
      <c r="AL5" s="476"/>
      <c r="AM5" s="476"/>
      <c r="AN5" s="476"/>
      <c r="AO5" s="476"/>
      <c r="AP5" s="476"/>
      <c r="AQ5" s="57"/>
      <c r="AR5" s="58"/>
      <c r="AS5" s="58"/>
      <c r="AT5" s="71"/>
      <c r="AU5" s="71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58"/>
      <c r="BG5" s="58"/>
      <c r="BH5" s="71"/>
      <c r="BI5" s="71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68"/>
      <c r="BU5" s="58"/>
      <c r="BV5" s="71"/>
      <c r="BW5" s="71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58"/>
    </row>
    <row r="6" spans="1:86" ht="18" customHeight="1" x14ac:dyDescent="0.4">
      <c r="B6" s="57"/>
      <c r="C6" s="475">
        <v>4</v>
      </c>
      <c r="D6" s="475"/>
      <c r="E6" s="476" t="str">
        <f>U12組合せ!$J$17</f>
        <v>カテット白沢ＳＳ</v>
      </c>
      <c r="F6" s="476"/>
      <c r="G6" s="476"/>
      <c r="H6" s="476"/>
      <c r="I6" s="476"/>
      <c r="J6" s="476"/>
      <c r="K6" s="476"/>
      <c r="L6" s="476"/>
      <c r="M6" s="476"/>
      <c r="N6" s="476"/>
      <c r="O6" s="58"/>
      <c r="P6" s="58"/>
      <c r="Q6" s="475">
        <v>5</v>
      </c>
      <c r="R6" s="475"/>
      <c r="S6" s="476" t="str">
        <f>U12組合せ!$J$18</f>
        <v>雀宮ＦＣ</v>
      </c>
      <c r="T6" s="476"/>
      <c r="U6" s="476"/>
      <c r="V6" s="476"/>
      <c r="W6" s="476"/>
      <c r="X6" s="476"/>
      <c r="Y6" s="476"/>
      <c r="Z6" s="476"/>
      <c r="AA6" s="476"/>
      <c r="AB6" s="476"/>
      <c r="AC6" s="68"/>
      <c r="AD6" s="55"/>
      <c r="AE6" s="475">
        <v>6</v>
      </c>
      <c r="AF6" s="475"/>
      <c r="AG6" s="476" t="str">
        <f>U12組合せ!$J$19</f>
        <v>富士見ＳＳＳ</v>
      </c>
      <c r="AH6" s="476"/>
      <c r="AI6" s="476"/>
      <c r="AJ6" s="476"/>
      <c r="AK6" s="476"/>
      <c r="AL6" s="476"/>
      <c r="AM6" s="476"/>
      <c r="AN6" s="476"/>
      <c r="AO6" s="476"/>
      <c r="AP6" s="476"/>
      <c r="AQ6" s="57"/>
      <c r="AR6" s="58"/>
      <c r="AS6" s="58"/>
      <c r="AT6" s="71"/>
      <c r="AU6" s="71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58"/>
      <c r="BG6" s="58"/>
      <c r="BH6" s="71"/>
      <c r="BI6" s="71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68"/>
      <c r="BU6" s="58"/>
      <c r="BV6" s="71"/>
      <c r="BW6" s="71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58"/>
    </row>
    <row r="7" spans="1:86" ht="18" customHeight="1" x14ac:dyDescent="0.4">
      <c r="C7" s="475">
        <v>7</v>
      </c>
      <c r="D7" s="475"/>
      <c r="E7" s="476" t="str">
        <f>U12組合せ!$J$20</f>
        <v>ＦＣみらいＶ</v>
      </c>
      <c r="F7" s="476"/>
      <c r="G7" s="476"/>
      <c r="H7" s="476"/>
      <c r="I7" s="476"/>
      <c r="J7" s="476"/>
      <c r="K7" s="476"/>
      <c r="L7" s="476"/>
      <c r="M7" s="476"/>
      <c r="N7" s="476"/>
      <c r="O7" s="58"/>
      <c r="P7" s="58"/>
      <c r="Q7" s="475">
        <v>8</v>
      </c>
      <c r="R7" s="475"/>
      <c r="S7" s="476" t="str">
        <f>U12組合せ!$J$21</f>
        <v>上河内ＪＳＣ</v>
      </c>
      <c r="T7" s="476"/>
      <c r="U7" s="476"/>
      <c r="V7" s="476"/>
      <c r="W7" s="476"/>
      <c r="X7" s="476"/>
      <c r="Y7" s="476"/>
      <c r="Z7" s="476"/>
      <c r="AA7" s="476"/>
      <c r="AB7" s="476"/>
      <c r="AC7" s="68"/>
      <c r="AD7" s="55"/>
      <c r="AE7" s="475">
        <v>9</v>
      </c>
      <c r="AF7" s="475"/>
      <c r="AG7" s="476" t="str">
        <f>U12組合せ!$J$22</f>
        <v>ジュベニール</v>
      </c>
      <c r="AH7" s="476"/>
      <c r="AI7" s="476"/>
      <c r="AJ7" s="476"/>
      <c r="AK7" s="476"/>
      <c r="AL7" s="476"/>
      <c r="AM7" s="476"/>
      <c r="AN7" s="476"/>
      <c r="AO7" s="476"/>
      <c r="AP7" s="476"/>
      <c r="AR7" s="58"/>
      <c r="AS7" s="58"/>
      <c r="AT7" s="71"/>
      <c r="AU7" s="71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58"/>
      <c r="BG7" s="58"/>
      <c r="BH7" s="71"/>
      <c r="BI7" s="71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68"/>
      <c r="BU7" s="58"/>
      <c r="BV7" s="71"/>
      <c r="BW7" s="71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58"/>
    </row>
    <row r="8" spans="1:86" ht="18" customHeight="1" x14ac:dyDescent="0.4">
      <c r="C8" s="475"/>
      <c r="D8" s="475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58"/>
      <c r="P8" s="58"/>
      <c r="Q8" s="475"/>
      <c r="R8" s="475"/>
      <c r="S8" s="476"/>
      <c r="T8" s="476"/>
      <c r="U8" s="476"/>
      <c r="V8" s="476"/>
      <c r="W8" s="476"/>
      <c r="X8" s="476"/>
      <c r="Y8" s="476"/>
      <c r="Z8" s="476"/>
      <c r="AA8" s="476"/>
      <c r="AB8" s="476"/>
      <c r="AC8" s="68"/>
      <c r="AD8" s="55"/>
      <c r="AE8" s="475"/>
      <c r="AF8" s="475"/>
      <c r="AG8" s="476"/>
      <c r="AH8" s="476"/>
      <c r="AI8" s="476"/>
      <c r="AJ8" s="476"/>
      <c r="AK8" s="476"/>
      <c r="AL8" s="476"/>
      <c r="AM8" s="476"/>
      <c r="AN8" s="476"/>
      <c r="AO8" s="476"/>
      <c r="AP8" s="476"/>
      <c r="AR8" s="58"/>
      <c r="AS8" s="58"/>
      <c r="AT8" s="71"/>
      <c r="AU8" s="71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58"/>
      <c r="BG8" s="58"/>
      <c r="BH8" s="71"/>
      <c r="BI8" s="71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68"/>
      <c r="BU8" s="58"/>
      <c r="BV8" s="71"/>
      <c r="BW8" s="71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58"/>
    </row>
    <row r="9" spans="1:86" ht="18" customHeight="1" x14ac:dyDescent="0.4">
      <c r="C9" s="475"/>
      <c r="D9" s="475"/>
      <c r="E9" s="476"/>
      <c r="F9" s="476"/>
      <c r="G9" s="476"/>
      <c r="H9" s="476"/>
      <c r="I9" s="476"/>
      <c r="J9" s="476"/>
      <c r="K9" s="476"/>
      <c r="L9" s="476"/>
      <c r="M9" s="476"/>
      <c r="N9" s="476"/>
      <c r="O9" s="58"/>
      <c r="P9" s="58"/>
      <c r="Q9" s="475"/>
      <c r="R9" s="475"/>
      <c r="S9" s="476"/>
      <c r="T9" s="476"/>
      <c r="U9" s="476"/>
      <c r="V9" s="476"/>
      <c r="W9" s="476"/>
      <c r="X9" s="476"/>
      <c r="Y9" s="476"/>
      <c r="Z9" s="476"/>
      <c r="AA9" s="476"/>
      <c r="AB9" s="476"/>
      <c r="AC9" s="68"/>
      <c r="AD9" s="55"/>
      <c r="AE9" s="475"/>
      <c r="AF9" s="475"/>
      <c r="AG9" s="476"/>
      <c r="AH9" s="476"/>
      <c r="AI9" s="476"/>
      <c r="AJ9" s="476"/>
      <c r="AK9" s="476"/>
      <c r="AL9" s="476"/>
      <c r="AM9" s="476"/>
      <c r="AN9" s="476"/>
      <c r="AO9" s="476"/>
      <c r="AP9" s="476"/>
      <c r="AR9" s="58"/>
      <c r="AS9" s="58"/>
      <c r="AT9" s="71"/>
      <c r="AU9" s="71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58"/>
      <c r="BG9" s="58"/>
      <c r="BH9" s="71"/>
      <c r="BI9" s="71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68"/>
      <c r="BU9" s="58"/>
      <c r="BV9" s="71"/>
      <c r="BW9" s="71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58"/>
    </row>
    <row r="10" spans="1:86" ht="18" customHeight="1" x14ac:dyDescent="0.4">
      <c r="C10" s="524"/>
      <c r="D10" s="524"/>
      <c r="E10" s="546"/>
      <c r="F10" s="546"/>
      <c r="G10" s="546"/>
      <c r="H10" s="546"/>
      <c r="I10" s="546"/>
      <c r="J10" s="546"/>
      <c r="K10" s="546"/>
      <c r="L10" s="546"/>
      <c r="M10" s="546"/>
      <c r="N10" s="546"/>
      <c r="O10" s="58"/>
      <c r="P10" s="58"/>
      <c r="Q10" s="524"/>
      <c r="R10" s="524"/>
      <c r="S10" s="546"/>
      <c r="T10" s="546"/>
      <c r="U10" s="546"/>
      <c r="V10" s="546"/>
      <c r="W10" s="546"/>
      <c r="X10" s="546"/>
      <c r="Y10" s="546"/>
      <c r="Z10" s="546"/>
      <c r="AA10" s="546"/>
      <c r="AB10" s="546"/>
      <c r="AC10" s="68"/>
      <c r="AD10" s="58"/>
      <c r="AE10" s="524"/>
      <c r="AF10" s="524"/>
      <c r="AG10" s="546"/>
      <c r="AH10" s="546"/>
      <c r="AI10" s="546"/>
      <c r="AJ10" s="546"/>
      <c r="AK10" s="546"/>
      <c r="AL10" s="546"/>
      <c r="AM10" s="546"/>
      <c r="AN10" s="546"/>
      <c r="AO10" s="546"/>
      <c r="AP10" s="546"/>
      <c r="AR10" s="58"/>
      <c r="AS10" s="58"/>
      <c r="AT10" s="71"/>
      <c r="AU10" s="71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58"/>
      <c r="BG10" s="58"/>
      <c r="BH10" s="71"/>
      <c r="BI10" s="71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68"/>
      <c r="BU10" s="58"/>
      <c r="BV10" s="71"/>
      <c r="BW10" s="71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58"/>
    </row>
    <row r="11" spans="1:86" ht="21" customHeight="1" x14ac:dyDescent="0.4">
      <c r="B11" s="56" t="s">
        <v>568</v>
      </c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</row>
    <row r="12" spans="1:86" ht="20.25" customHeight="1" x14ac:dyDescent="0.4">
      <c r="B12" s="219"/>
      <c r="C12" s="456" t="s">
        <v>25</v>
      </c>
      <c r="D12" s="456"/>
      <c r="E12" s="456"/>
      <c r="F12" s="458" t="s">
        <v>26</v>
      </c>
      <c r="G12" s="459"/>
      <c r="H12" s="459"/>
      <c r="I12" s="459"/>
      <c r="J12" s="456" t="s">
        <v>27</v>
      </c>
      <c r="K12" s="457"/>
      <c r="L12" s="457"/>
      <c r="M12" s="457"/>
      <c r="N12" s="457"/>
      <c r="O12" s="457"/>
      <c r="P12" s="457"/>
      <c r="Q12" s="456" t="s">
        <v>570</v>
      </c>
      <c r="R12" s="456"/>
      <c r="S12" s="456"/>
      <c r="T12" s="456"/>
      <c r="U12" s="456"/>
      <c r="V12" s="456"/>
      <c r="W12" s="456"/>
      <c r="X12" s="456" t="s">
        <v>27</v>
      </c>
      <c r="Y12" s="457"/>
      <c r="Z12" s="457"/>
      <c r="AA12" s="457"/>
      <c r="AB12" s="457"/>
      <c r="AC12" s="457"/>
      <c r="AD12" s="457"/>
      <c r="AE12" s="458" t="s">
        <v>26</v>
      </c>
      <c r="AF12" s="459"/>
      <c r="AG12" s="459"/>
      <c r="AH12" s="459"/>
      <c r="AI12" s="456" t="s">
        <v>29</v>
      </c>
      <c r="AJ12" s="456"/>
      <c r="AK12" s="457"/>
      <c r="AL12" s="457"/>
      <c r="AM12" s="457"/>
      <c r="AN12" s="457"/>
      <c r="AO12" s="457"/>
      <c r="AP12" s="457"/>
      <c r="AR12" s="58"/>
      <c r="AS12" s="73"/>
      <c r="AT12" s="74"/>
      <c r="AU12" s="74"/>
      <c r="AV12" s="74"/>
      <c r="AW12" s="76"/>
      <c r="AX12" s="77"/>
      <c r="AY12" s="77"/>
      <c r="AZ12" s="77"/>
      <c r="BA12" s="74"/>
      <c r="BB12" s="78"/>
      <c r="BC12" s="78"/>
      <c r="BD12" s="78"/>
      <c r="BE12" s="78"/>
      <c r="BF12" s="78"/>
      <c r="BG12" s="78"/>
      <c r="BH12" s="74"/>
      <c r="BI12" s="74"/>
      <c r="BJ12" s="74"/>
      <c r="BK12" s="74"/>
      <c r="BL12" s="74"/>
      <c r="BM12" s="74"/>
      <c r="BN12" s="74"/>
      <c r="BO12" s="74"/>
      <c r="BP12" s="78"/>
      <c r="BQ12" s="78"/>
      <c r="BR12" s="78"/>
      <c r="BS12" s="78"/>
      <c r="BT12" s="78"/>
      <c r="BU12" s="78"/>
      <c r="BV12" s="76"/>
      <c r="BW12" s="77"/>
      <c r="BX12" s="77"/>
      <c r="BY12" s="77"/>
      <c r="BZ12" s="74"/>
      <c r="CA12" s="74"/>
      <c r="CB12" s="78"/>
      <c r="CC12" s="78"/>
      <c r="CD12" s="78"/>
      <c r="CE12" s="78"/>
      <c r="CF12" s="78"/>
      <c r="CG12" s="78"/>
      <c r="CH12" s="58"/>
    </row>
    <row r="13" spans="1:86" ht="20.100000000000001" customHeight="1" x14ac:dyDescent="0.4">
      <c r="B13" s="472">
        <v>1</v>
      </c>
      <c r="C13" s="452">
        <v>0.35416666666666669</v>
      </c>
      <c r="D13" s="452"/>
      <c r="E13" s="452"/>
      <c r="F13" s="443"/>
      <c r="G13" s="444"/>
      <c r="H13" s="444"/>
      <c r="I13" s="444"/>
      <c r="J13" s="445" t="str">
        <f>IFERROR(VLOOKUP(AR13,$C$5:$N$7,3,0),"")&amp;IFERROR(VLOOKUP(AR13,$Q$5:$AB$7,3,0),"")&amp;IFERROR(VLOOKUP(AR13,$AE$5:$AP$7,3,0),"")</f>
        <v>本郷北ＦＣ</v>
      </c>
      <c r="K13" s="446"/>
      <c r="L13" s="446"/>
      <c r="M13" s="446"/>
      <c r="N13" s="446"/>
      <c r="O13" s="446"/>
      <c r="P13" s="446"/>
      <c r="Q13" s="450">
        <f t="shared" ref="Q13:Q17" si="0">IF(OR(S13="",S14=""),"",S13+S14)</f>
        <v>2</v>
      </c>
      <c r="R13" s="450"/>
      <c r="S13" s="220">
        <v>1</v>
      </c>
      <c r="T13" s="221" t="s">
        <v>30</v>
      </c>
      <c r="U13" s="220">
        <v>0</v>
      </c>
      <c r="V13" s="450">
        <f t="shared" ref="V13:V17" si="1">IF(OR(U13="",U14=""),"",U13+U14)</f>
        <v>0</v>
      </c>
      <c r="W13" s="450"/>
      <c r="X13" s="447" t="str">
        <f>IFERROR(VLOOKUP(AS13,$C$5:$N$7,3,0),"")&amp;IFERROR(VLOOKUP(AS13,$Q$5:$AB$7,3,0),"")&amp;IFERROR(VLOOKUP(AS13,$AE$5:$AP$7,3,0),"")</f>
        <v>みはらＳＣjr</v>
      </c>
      <c r="Y13" s="448"/>
      <c r="Z13" s="448"/>
      <c r="AA13" s="448"/>
      <c r="AB13" s="448"/>
      <c r="AC13" s="448"/>
      <c r="AD13" s="448"/>
      <c r="AE13" s="443"/>
      <c r="AF13" s="444"/>
      <c r="AG13" s="444"/>
      <c r="AH13" s="444"/>
      <c r="AI13" s="450" t="str">
        <f ca="1">DBCS(INDIRECT("U12対戦スケジュール!g"&amp;((ROW()-1)/2+13)))</f>
        <v>４／５／５／４</v>
      </c>
      <c r="AJ13" s="444"/>
      <c r="AK13" s="444"/>
      <c r="AL13" s="444"/>
      <c r="AM13" s="444"/>
      <c r="AN13" s="444"/>
      <c r="AO13" s="444"/>
      <c r="AP13" s="444"/>
      <c r="AR13" s="56">
        <v>1</v>
      </c>
      <c r="AS13" s="56">
        <v>2</v>
      </c>
      <c r="AT13" s="60"/>
      <c r="AU13" s="60"/>
      <c r="AV13" s="60"/>
      <c r="AW13" s="58"/>
      <c r="AX13" s="79"/>
      <c r="AY13" s="79"/>
      <c r="AZ13" s="79"/>
      <c r="BA13" s="61"/>
      <c r="BB13" s="78"/>
      <c r="BC13" s="78"/>
      <c r="BD13" s="78"/>
      <c r="BE13" s="78"/>
      <c r="BF13" s="78"/>
      <c r="BG13" s="78"/>
      <c r="BH13" s="61"/>
      <c r="BI13" s="61"/>
      <c r="BJ13" s="61"/>
      <c r="BK13" s="61"/>
      <c r="BL13" s="61"/>
      <c r="BM13" s="61"/>
      <c r="BN13" s="61"/>
      <c r="BO13" s="61"/>
      <c r="BP13" s="78"/>
      <c r="BQ13" s="78"/>
      <c r="BR13" s="78"/>
      <c r="BS13" s="78"/>
      <c r="BT13" s="78"/>
      <c r="BU13" s="78"/>
      <c r="BV13" s="58"/>
      <c r="BW13" s="79"/>
      <c r="BX13" s="79"/>
      <c r="BY13" s="79"/>
      <c r="BZ13" s="61"/>
      <c r="CA13" s="79"/>
      <c r="CB13" s="79"/>
      <c r="CC13" s="79"/>
      <c r="CD13" s="79"/>
      <c r="CE13" s="79"/>
      <c r="CF13" s="79"/>
      <c r="CG13" s="79"/>
      <c r="CH13" s="58"/>
    </row>
    <row r="14" spans="1:86" ht="20.100000000000001" customHeight="1" x14ac:dyDescent="0.4">
      <c r="B14" s="472"/>
      <c r="C14" s="452"/>
      <c r="D14" s="452"/>
      <c r="E14" s="452"/>
      <c r="F14" s="444"/>
      <c r="G14" s="444"/>
      <c r="H14" s="444"/>
      <c r="I14" s="444"/>
      <c r="J14" s="446"/>
      <c r="K14" s="446"/>
      <c r="L14" s="446"/>
      <c r="M14" s="446"/>
      <c r="N14" s="446"/>
      <c r="O14" s="446"/>
      <c r="P14" s="446"/>
      <c r="Q14" s="450"/>
      <c r="R14" s="450"/>
      <c r="S14" s="220">
        <v>1</v>
      </c>
      <c r="T14" s="221" t="s">
        <v>30</v>
      </c>
      <c r="U14" s="220">
        <v>0</v>
      </c>
      <c r="V14" s="450"/>
      <c r="W14" s="450"/>
      <c r="X14" s="448"/>
      <c r="Y14" s="448"/>
      <c r="Z14" s="448"/>
      <c r="AA14" s="448"/>
      <c r="AB14" s="448"/>
      <c r="AC14" s="448"/>
      <c r="AD14" s="448"/>
      <c r="AE14" s="444"/>
      <c r="AF14" s="444"/>
      <c r="AG14" s="444"/>
      <c r="AH14" s="444"/>
      <c r="AI14" s="444"/>
      <c r="AJ14" s="444"/>
      <c r="AK14" s="444"/>
      <c r="AL14" s="444"/>
      <c r="AM14" s="444"/>
      <c r="AN14" s="444"/>
      <c r="AO14" s="444"/>
      <c r="AP14" s="444"/>
      <c r="AT14" s="60"/>
      <c r="AU14" s="60"/>
      <c r="AV14" s="60"/>
      <c r="AW14" s="79"/>
      <c r="AX14" s="79"/>
      <c r="AY14" s="79"/>
      <c r="AZ14" s="79"/>
      <c r="BA14" s="78"/>
      <c r="BB14" s="78"/>
      <c r="BC14" s="78"/>
      <c r="BD14" s="78"/>
      <c r="BE14" s="78"/>
      <c r="BF14" s="78"/>
      <c r="BG14" s="78"/>
      <c r="BH14" s="61"/>
      <c r="BI14" s="61"/>
      <c r="BJ14" s="61"/>
      <c r="BK14" s="61"/>
      <c r="BL14" s="61"/>
      <c r="BM14" s="61"/>
      <c r="BN14" s="61"/>
      <c r="BO14" s="78"/>
      <c r="BP14" s="78"/>
      <c r="BQ14" s="78"/>
      <c r="BR14" s="78"/>
      <c r="BS14" s="78"/>
      <c r="BT14" s="78"/>
      <c r="BU14" s="78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58"/>
    </row>
    <row r="15" spans="1:86" ht="20.100000000000001" customHeight="1" x14ac:dyDescent="0.4">
      <c r="B15" s="472">
        <v>2</v>
      </c>
      <c r="C15" s="452">
        <v>0.3888888888888889</v>
      </c>
      <c r="D15" s="452">
        <v>0.4375</v>
      </c>
      <c r="E15" s="452"/>
      <c r="F15" s="443"/>
      <c r="G15" s="444"/>
      <c r="H15" s="444"/>
      <c r="I15" s="444"/>
      <c r="J15" s="445" t="str">
        <f t="shared" ref="J15" si="2">IFERROR(VLOOKUP(AR15,$C$5:$N$7,3,0),"")&amp;IFERROR(VLOOKUP(AR15,$Q$5:$AB$7,3,0),"")&amp;IFERROR(VLOOKUP(AR15,$AE$5:$AP$7,3,0),"")</f>
        <v>カテット白沢ＳＳ</v>
      </c>
      <c r="K15" s="446"/>
      <c r="L15" s="446"/>
      <c r="M15" s="446"/>
      <c r="N15" s="446"/>
      <c r="O15" s="446"/>
      <c r="P15" s="446"/>
      <c r="Q15" s="450">
        <f t="shared" si="0"/>
        <v>0</v>
      </c>
      <c r="R15" s="450"/>
      <c r="S15" s="220">
        <v>0</v>
      </c>
      <c r="T15" s="221" t="s">
        <v>30</v>
      </c>
      <c r="U15" s="220">
        <v>0</v>
      </c>
      <c r="V15" s="450">
        <f t="shared" si="1"/>
        <v>0</v>
      </c>
      <c r="W15" s="450"/>
      <c r="X15" s="447" t="str">
        <f t="shared" ref="X15" si="3">IFERROR(VLOOKUP(AS15,$C$5:$N$7,3,0),"")&amp;IFERROR(VLOOKUP(AS15,$Q$5:$AB$7,3,0),"")&amp;IFERROR(VLOOKUP(AS15,$AE$5:$AP$7,3,0),"")</f>
        <v>雀宮ＦＣ</v>
      </c>
      <c r="Y15" s="448"/>
      <c r="Z15" s="448"/>
      <c r="AA15" s="448"/>
      <c r="AB15" s="448"/>
      <c r="AC15" s="448"/>
      <c r="AD15" s="448"/>
      <c r="AE15" s="443"/>
      <c r="AF15" s="444"/>
      <c r="AG15" s="444"/>
      <c r="AH15" s="444"/>
      <c r="AI15" s="450" t="str">
        <f ca="1">DBCS(INDIRECT("U12対戦スケジュール!g"&amp;((ROW()-1)/2+13)))</f>
        <v>１／２／２／１</v>
      </c>
      <c r="AJ15" s="444"/>
      <c r="AK15" s="444"/>
      <c r="AL15" s="444"/>
      <c r="AM15" s="444"/>
      <c r="AN15" s="444"/>
      <c r="AO15" s="444"/>
      <c r="AP15" s="444"/>
      <c r="AR15" s="56">
        <v>4</v>
      </c>
      <c r="AS15" s="56">
        <v>5</v>
      </c>
      <c r="AT15" s="60"/>
      <c r="AU15" s="60"/>
      <c r="AV15" s="60"/>
      <c r="AW15" s="58"/>
      <c r="AX15" s="79"/>
      <c r="AY15" s="79"/>
      <c r="AZ15" s="79"/>
      <c r="BA15" s="61"/>
      <c r="BB15" s="78"/>
      <c r="BC15" s="78"/>
      <c r="BD15" s="78"/>
      <c r="BE15" s="78"/>
      <c r="BF15" s="78"/>
      <c r="BG15" s="78"/>
      <c r="BH15" s="61"/>
      <c r="BI15" s="61"/>
      <c r="BJ15" s="61"/>
      <c r="BK15" s="61"/>
      <c r="BL15" s="61"/>
      <c r="BM15" s="61"/>
      <c r="BN15" s="61"/>
      <c r="BO15" s="61"/>
      <c r="BP15" s="78"/>
      <c r="BQ15" s="78"/>
      <c r="BR15" s="78"/>
      <c r="BS15" s="78"/>
      <c r="BT15" s="78"/>
      <c r="BU15" s="78"/>
      <c r="BV15" s="58"/>
      <c r="BW15" s="79"/>
      <c r="BX15" s="79"/>
      <c r="BY15" s="79"/>
      <c r="BZ15" s="61"/>
      <c r="CA15" s="79"/>
      <c r="CB15" s="79"/>
      <c r="CC15" s="79"/>
      <c r="CD15" s="79"/>
      <c r="CE15" s="79"/>
      <c r="CF15" s="79"/>
      <c r="CG15" s="79"/>
      <c r="CH15" s="58"/>
    </row>
    <row r="16" spans="1:86" ht="20.100000000000001" customHeight="1" x14ac:dyDescent="0.4">
      <c r="B16" s="472"/>
      <c r="C16" s="452"/>
      <c r="D16" s="452"/>
      <c r="E16" s="452"/>
      <c r="F16" s="444"/>
      <c r="G16" s="444"/>
      <c r="H16" s="444"/>
      <c r="I16" s="444"/>
      <c r="J16" s="446"/>
      <c r="K16" s="446"/>
      <c r="L16" s="446"/>
      <c r="M16" s="446"/>
      <c r="N16" s="446"/>
      <c r="O16" s="446"/>
      <c r="P16" s="446"/>
      <c r="Q16" s="450"/>
      <c r="R16" s="450"/>
      <c r="S16" s="220">
        <v>0</v>
      </c>
      <c r="T16" s="221" t="s">
        <v>30</v>
      </c>
      <c r="U16" s="220">
        <v>0</v>
      </c>
      <c r="V16" s="450"/>
      <c r="W16" s="450"/>
      <c r="X16" s="448"/>
      <c r="Y16" s="448"/>
      <c r="Z16" s="448"/>
      <c r="AA16" s="448"/>
      <c r="AB16" s="448"/>
      <c r="AC16" s="448"/>
      <c r="AD16" s="448"/>
      <c r="AE16" s="444"/>
      <c r="AF16" s="444"/>
      <c r="AG16" s="444"/>
      <c r="AH16" s="444"/>
      <c r="AI16" s="444"/>
      <c r="AJ16" s="444"/>
      <c r="AK16" s="444"/>
      <c r="AL16" s="444"/>
      <c r="AM16" s="444"/>
      <c r="AN16" s="444"/>
      <c r="AO16" s="444"/>
      <c r="AP16" s="444"/>
      <c r="AT16" s="60"/>
      <c r="AU16" s="60"/>
      <c r="AV16" s="60"/>
      <c r="AW16" s="79"/>
      <c r="AX16" s="79"/>
      <c r="AY16" s="79"/>
      <c r="AZ16" s="79"/>
      <c r="BA16" s="78"/>
      <c r="BB16" s="78"/>
      <c r="BC16" s="78"/>
      <c r="BD16" s="78"/>
      <c r="BE16" s="78"/>
      <c r="BF16" s="78"/>
      <c r="BG16" s="78"/>
      <c r="BH16" s="61"/>
      <c r="BI16" s="61"/>
      <c r="BJ16" s="61"/>
      <c r="BK16" s="61"/>
      <c r="BL16" s="61"/>
      <c r="BM16" s="61"/>
      <c r="BN16" s="61"/>
      <c r="BO16" s="78"/>
      <c r="BP16" s="78"/>
      <c r="BQ16" s="78"/>
      <c r="BR16" s="78"/>
      <c r="BS16" s="78"/>
      <c r="BT16" s="78"/>
      <c r="BU16" s="78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58"/>
    </row>
    <row r="17" spans="1:86" ht="20.100000000000001" customHeight="1" x14ac:dyDescent="0.4">
      <c r="B17" s="472">
        <v>3</v>
      </c>
      <c r="C17" s="452">
        <v>0.4236111111111111</v>
      </c>
      <c r="D17" s="452"/>
      <c r="E17" s="452"/>
      <c r="F17" s="443"/>
      <c r="G17" s="444"/>
      <c r="H17" s="444"/>
      <c r="I17" s="444"/>
      <c r="J17" s="445" t="str">
        <f t="shared" ref="J17" si="4">IFERROR(VLOOKUP(AR17,$C$5:$N$7,3,0),"")&amp;IFERROR(VLOOKUP(AR17,$Q$5:$AB$7,3,0),"")&amp;IFERROR(VLOOKUP(AR17,$AE$5:$AP$7,3,0),"")</f>
        <v>Ｓ４スペランツァ</v>
      </c>
      <c r="K17" s="446"/>
      <c r="L17" s="446"/>
      <c r="M17" s="446"/>
      <c r="N17" s="446"/>
      <c r="O17" s="446"/>
      <c r="P17" s="446"/>
      <c r="Q17" s="450">
        <f t="shared" si="0"/>
        <v>6</v>
      </c>
      <c r="R17" s="450"/>
      <c r="S17" s="220">
        <v>6</v>
      </c>
      <c r="T17" s="221" t="s">
        <v>30</v>
      </c>
      <c r="U17" s="220">
        <v>0</v>
      </c>
      <c r="V17" s="450">
        <f t="shared" si="1"/>
        <v>1</v>
      </c>
      <c r="W17" s="450"/>
      <c r="X17" s="447" t="str">
        <f t="shared" ref="X17" si="5">IFERROR(VLOOKUP(AS17,$C$5:$N$7,3,0),"")&amp;IFERROR(VLOOKUP(AS17,$Q$5:$AB$7,3,0),"")&amp;IFERROR(VLOOKUP(AS17,$AE$5:$AP$7,3,0),"")</f>
        <v>本郷北ＦＣ</v>
      </c>
      <c r="Y17" s="448"/>
      <c r="Z17" s="448"/>
      <c r="AA17" s="448"/>
      <c r="AB17" s="448"/>
      <c r="AC17" s="448"/>
      <c r="AD17" s="448"/>
      <c r="AE17" s="443"/>
      <c r="AF17" s="444"/>
      <c r="AG17" s="444"/>
      <c r="AH17" s="444"/>
      <c r="AI17" s="450" t="str">
        <f ca="1">DBCS(INDIRECT("U12対戦スケジュール!g"&amp;((ROW()-1)/2+13)))</f>
        <v>６／４／４／６</v>
      </c>
      <c r="AJ17" s="444"/>
      <c r="AK17" s="444"/>
      <c r="AL17" s="444"/>
      <c r="AM17" s="444"/>
      <c r="AN17" s="444"/>
      <c r="AO17" s="444"/>
      <c r="AP17" s="444"/>
      <c r="AR17" s="56">
        <v>3</v>
      </c>
      <c r="AS17" s="56">
        <v>1</v>
      </c>
      <c r="AT17" s="60"/>
      <c r="AU17" s="60"/>
      <c r="AV17" s="60"/>
      <c r="AW17" s="58"/>
      <c r="AX17" s="79"/>
      <c r="AY17" s="79"/>
      <c r="AZ17" s="79"/>
      <c r="BA17" s="61"/>
      <c r="BB17" s="78"/>
      <c r="BC17" s="78"/>
      <c r="BD17" s="78"/>
      <c r="BE17" s="78"/>
      <c r="BF17" s="78"/>
      <c r="BG17" s="78"/>
      <c r="BH17" s="61"/>
      <c r="BI17" s="61"/>
      <c r="BJ17" s="61"/>
      <c r="BK17" s="61"/>
      <c r="BL17" s="61"/>
      <c r="BM17" s="61"/>
      <c r="BN17" s="61"/>
      <c r="BO17" s="61"/>
      <c r="BP17" s="78"/>
      <c r="BQ17" s="78"/>
      <c r="BR17" s="78"/>
      <c r="BS17" s="78"/>
      <c r="BT17" s="78"/>
      <c r="BU17" s="78"/>
      <c r="BV17" s="58"/>
      <c r="BW17" s="79"/>
      <c r="BX17" s="79"/>
      <c r="BY17" s="79"/>
      <c r="BZ17" s="61"/>
      <c r="CA17" s="79"/>
      <c r="CB17" s="79"/>
      <c r="CC17" s="79"/>
      <c r="CD17" s="79"/>
      <c r="CE17" s="79"/>
      <c r="CF17" s="79"/>
      <c r="CG17" s="79"/>
      <c r="CH17" s="58"/>
    </row>
    <row r="18" spans="1:86" ht="20.100000000000001" customHeight="1" x14ac:dyDescent="0.4">
      <c r="B18" s="472"/>
      <c r="C18" s="452"/>
      <c r="D18" s="452"/>
      <c r="E18" s="452"/>
      <c r="F18" s="444"/>
      <c r="G18" s="444"/>
      <c r="H18" s="444"/>
      <c r="I18" s="444"/>
      <c r="J18" s="446"/>
      <c r="K18" s="446"/>
      <c r="L18" s="446"/>
      <c r="M18" s="446"/>
      <c r="N18" s="446"/>
      <c r="O18" s="446"/>
      <c r="P18" s="446"/>
      <c r="Q18" s="450"/>
      <c r="R18" s="450"/>
      <c r="S18" s="220">
        <v>0</v>
      </c>
      <c r="T18" s="221" t="s">
        <v>30</v>
      </c>
      <c r="U18" s="220">
        <v>1</v>
      </c>
      <c r="V18" s="450"/>
      <c r="W18" s="450"/>
      <c r="X18" s="448"/>
      <c r="Y18" s="448"/>
      <c r="Z18" s="448"/>
      <c r="AA18" s="448"/>
      <c r="AB18" s="448"/>
      <c r="AC18" s="448"/>
      <c r="AD18" s="448"/>
      <c r="AE18" s="444"/>
      <c r="AF18" s="444"/>
      <c r="AG18" s="444"/>
      <c r="AH18" s="444"/>
      <c r="AI18" s="444"/>
      <c r="AJ18" s="444"/>
      <c r="AK18" s="444"/>
      <c r="AL18" s="444"/>
      <c r="AM18" s="444"/>
      <c r="AN18" s="444"/>
      <c r="AO18" s="444"/>
      <c r="AP18" s="444"/>
      <c r="AT18" s="60"/>
      <c r="AU18" s="60"/>
      <c r="AV18" s="60"/>
      <c r="AW18" s="79"/>
      <c r="AX18" s="79"/>
      <c r="AY18" s="79"/>
      <c r="AZ18" s="79"/>
      <c r="BA18" s="78"/>
      <c r="BB18" s="78"/>
      <c r="BC18" s="78"/>
      <c r="BD18" s="78"/>
      <c r="BE18" s="78"/>
      <c r="BF18" s="78"/>
      <c r="BG18" s="78"/>
      <c r="BH18" s="61"/>
      <c r="BI18" s="61"/>
      <c r="BJ18" s="61"/>
      <c r="BK18" s="61"/>
      <c r="BL18" s="61"/>
      <c r="BM18" s="61"/>
      <c r="BN18" s="61"/>
      <c r="BO18" s="78"/>
      <c r="BP18" s="78"/>
      <c r="BQ18" s="78"/>
      <c r="BR18" s="78"/>
      <c r="BS18" s="78"/>
      <c r="BT18" s="78"/>
      <c r="BU18" s="78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58"/>
    </row>
    <row r="19" spans="1:86" ht="20.100000000000001" customHeight="1" x14ac:dyDescent="0.4">
      <c r="B19" s="472">
        <v>4</v>
      </c>
      <c r="C19" s="452">
        <v>0.45833333333333331</v>
      </c>
      <c r="D19" s="452">
        <v>0.4375</v>
      </c>
      <c r="E19" s="452"/>
      <c r="F19" s="443"/>
      <c r="G19" s="444"/>
      <c r="H19" s="444"/>
      <c r="I19" s="444"/>
      <c r="J19" s="445" t="str">
        <f t="shared" ref="J19" si="6">IFERROR(VLOOKUP(AR19,$C$5:$N$7,3,0),"")&amp;IFERROR(VLOOKUP(AR19,$Q$5:$AB$7,3,0),"")&amp;IFERROR(VLOOKUP(AR19,$AE$5:$AP$7,3,0),"")</f>
        <v>富士見ＳＳＳ</v>
      </c>
      <c r="K19" s="446"/>
      <c r="L19" s="446"/>
      <c r="M19" s="446"/>
      <c r="N19" s="446"/>
      <c r="O19" s="446"/>
      <c r="P19" s="446"/>
      <c r="Q19" s="450">
        <f t="shared" ref="Q19:Q23" si="7">IF(OR(S19="",S20=""),"",S19+S20)</f>
        <v>0</v>
      </c>
      <c r="R19" s="450"/>
      <c r="S19" s="220">
        <v>0</v>
      </c>
      <c r="T19" s="221" t="s">
        <v>30</v>
      </c>
      <c r="U19" s="220">
        <v>0</v>
      </c>
      <c r="V19" s="450">
        <f t="shared" ref="V19:V23" si="8">IF(OR(U19="",U20=""),"",U19+U20)</f>
        <v>2</v>
      </c>
      <c r="W19" s="450"/>
      <c r="X19" s="447" t="str">
        <f t="shared" ref="X19" si="9">IFERROR(VLOOKUP(AS19,$C$5:$N$7,3,0),"")&amp;IFERROR(VLOOKUP(AS19,$Q$5:$AB$7,3,0),"")&amp;IFERROR(VLOOKUP(AS19,$AE$5:$AP$7,3,0),"")</f>
        <v>カテット白沢ＳＳ</v>
      </c>
      <c r="Y19" s="448"/>
      <c r="Z19" s="448"/>
      <c r="AA19" s="448"/>
      <c r="AB19" s="448"/>
      <c r="AC19" s="448"/>
      <c r="AD19" s="448"/>
      <c r="AE19" s="443"/>
      <c r="AF19" s="444"/>
      <c r="AG19" s="444"/>
      <c r="AH19" s="444"/>
      <c r="AI19" s="450" t="str">
        <f ca="1">DBCS(INDIRECT("U12対戦スケジュール!g"&amp;((ROW()-1)/2+13)))</f>
        <v>３／１／１／３</v>
      </c>
      <c r="AJ19" s="444"/>
      <c r="AK19" s="444"/>
      <c r="AL19" s="444"/>
      <c r="AM19" s="444"/>
      <c r="AN19" s="444"/>
      <c r="AO19" s="444"/>
      <c r="AP19" s="444"/>
      <c r="AR19" s="56">
        <v>6</v>
      </c>
      <c r="AS19" s="56">
        <v>4</v>
      </c>
      <c r="AT19" s="60"/>
      <c r="AU19" s="60"/>
      <c r="AV19" s="60"/>
      <c r="AW19" s="58"/>
      <c r="AX19" s="79"/>
      <c r="AY19" s="79"/>
      <c r="AZ19" s="79"/>
      <c r="BA19" s="61"/>
      <c r="BB19" s="78"/>
      <c r="BC19" s="78"/>
      <c r="BD19" s="78"/>
      <c r="BE19" s="78"/>
      <c r="BF19" s="78"/>
      <c r="BG19" s="78"/>
      <c r="BH19" s="61"/>
      <c r="BI19" s="61"/>
      <c r="BJ19" s="61"/>
      <c r="BK19" s="61"/>
      <c r="BL19" s="61"/>
      <c r="BM19" s="61"/>
      <c r="BN19" s="61"/>
      <c r="BO19" s="61"/>
      <c r="BP19" s="78"/>
      <c r="BQ19" s="78"/>
      <c r="BR19" s="78"/>
      <c r="BS19" s="78"/>
      <c r="BT19" s="78"/>
      <c r="BU19" s="78"/>
      <c r="BV19" s="58"/>
      <c r="BW19" s="79"/>
      <c r="BX19" s="79"/>
      <c r="BY19" s="79"/>
      <c r="BZ19" s="61"/>
      <c r="CA19" s="79"/>
      <c r="CB19" s="79"/>
      <c r="CC19" s="79"/>
      <c r="CD19" s="79"/>
      <c r="CE19" s="79"/>
      <c r="CF19" s="79"/>
      <c r="CG19" s="79"/>
      <c r="CH19" s="58"/>
    </row>
    <row r="20" spans="1:86" ht="20.100000000000001" customHeight="1" x14ac:dyDescent="0.4">
      <c r="B20" s="472"/>
      <c r="C20" s="452"/>
      <c r="D20" s="452"/>
      <c r="E20" s="452"/>
      <c r="F20" s="444"/>
      <c r="G20" s="444"/>
      <c r="H20" s="444"/>
      <c r="I20" s="444"/>
      <c r="J20" s="446"/>
      <c r="K20" s="446"/>
      <c r="L20" s="446"/>
      <c r="M20" s="446"/>
      <c r="N20" s="446"/>
      <c r="O20" s="446"/>
      <c r="P20" s="446"/>
      <c r="Q20" s="450"/>
      <c r="R20" s="450"/>
      <c r="S20" s="220">
        <v>0</v>
      </c>
      <c r="T20" s="221" t="s">
        <v>30</v>
      </c>
      <c r="U20" s="220">
        <v>2</v>
      </c>
      <c r="V20" s="450"/>
      <c r="W20" s="450"/>
      <c r="X20" s="448"/>
      <c r="Y20" s="448"/>
      <c r="Z20" s="448"/>
      <c r="AA20" s="448"/>
      <c r="AB20" s="448"/>
      <c r="AC20" s="448"/>
      <c r="AD20" s="448"/>
      <c r="AE20" s="444"/>
      <c r="AF20" s="444"/>
      <c r="AG20" s="444"/>
      <c r="AH20" s="444"/>
      <c r="AI20" s="444"/>
      <c r="AJ20" s="444"/>
      <c r="AK20" s="444"/>
      <c r="AL20" s="444"/>
      <c r="AM20" s="444"/>
      <c r="AN20" s="444"/>
      <c r="AO20" s="444"/>
      <c r="AP20" s="444"/>
      <c r="AT20" s="60"/>
      <c r="AU20" s="60"/>
      <c r="AV20" s="60"/>
      <c r="AW20" s="79"/>
      <c r="AX20" s="79"/>
      <c r="AY20" s="79"/>
      <c r="AZ20" s="79"/>
      <c r="BA20" s="78"/>
      <c r="BB20" s="78"/>
      <c r="BC20" s="78"/>
      <c r="BD20" s="78"/>
      <c r="BE20" s="78"/>
      <c r="BF20" s="78"/>
      <c r="BG20" s="78"/>
      <c r="BH20" s="61"/>
      <c r="BI20" s="61"/>
      <c r="BJ20" s="61"/>
      <c r="BK20" s="61"/>
      <c r="BL20" s="61"/>
      <c r="BM20" s="61"/>
      <c r="BN20" s="61"/>
      <c r="BO20" s="78"/>
      <c r="BP20" s="78"/>
      <c r="BQ20" s="78"/>
      <c r="BR20" s="78"/>
      <c r="BS20" s="78"/>
      <c r="BT20" s="78"/>
      <c r="BU20" s="78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58"/>
    </row>
    <row r="21" spans="1:86" ht="20.100000000000001" customHeight="1" x14ac:dyDescent="0.4">
      <c r="B21" s="472">
        <v>5</v>
      </c>
      <c r="C21" s="452">
        <v>0.49305555555555558</v>
      </c>
      <c r="D21" s="452"/>
      <c r="E21" s="452"/>
      <c r="F21" s="443"/>
      <c r="G21" s="444"/>
      <c r="H21" s="444"/>
      <c r="I21" s="444"/>
      <c r="J21" s="445" t="str">
        <f t="shared" ref="J21" si="10">IFERROR(VLOOKUP(AR21,$C$5:$N$7,3,0),"")&amp;IFERROR(VLOOKUP(AR21,$Q$5:$AB$7,3,0),"")&amp;IFERROR(VLOOKUP(AR21,$AE$5:$AP$7,3,0),"")</f>
        <v>みはらＳＣjr</v>
      </c>
      <c r="K21" s="446"/>
      <c r="L21" s="446"/>
      <c r="M21" s="446"/>
      <c r="N21" s="446"/>
      <c r="O21" s="446"/>
      <c r="P21" s="446"/>
      <c r="Q21" s="450">
        <f t="shared" si="7"/>
        <v>0</v>
      </c>
      <c r="R21" s="450"/>
      <c r="S21" s="220">
        <v>0</v>
      </c>
      <c r="T21" s="221" t="s">
        <v>30</v>
      </c>
      <c r="U21" s="220">
        <v>3</v>
      </c>
      <c r="V21" s="450">
        <f t="shared" si="8"/>
        <v>8</v>
      </c>
      <c r="W21" s="450"/>
      <c r="X21" s="447" t="str">
        <f t="shared" ref="X21" si="11">IFERROR(VLOOKUP(AS21,$C$5:$N$7,3,0),"")&amp;IFERROR(VLOOKUP(AS21,$Q$5:$AB$7,3,0),"")&amp;IFERROR(VLOOKUP(AS21,$AE$5:$AP$7,3,0),"")</f>
        <v>Ｓ４スペランツァ</v>
      </c>
      <c r="Y21" s="448"/>
      <c r="Z21" s="448"/>
      <c r="AA21" s="448"/>
      <c r="AB21" s="448"/>
      <c r="AC21" s="448"/>
      <c r="AD21" s="448"/>
      <c r="AE21" s="443"/>
      <c r="AF21" s="444"/>
      <c r="AG21" s="444"/>
      <c r="AH21" s="444"/>
      <c r="AI21" s="450" t="str">
        <f ca="1">DBCS(INDIRECT("U12対戦スケジュール!g"&amp;((ROW()-1)/2+13)))</f>
        <v>５／６／６／５</v>
      </c>
      <c r="AJ21" s="444"/>
      <c r="AK21" s="444"/>
      <c r="AL21" s="444"/>
      <c r="AM21" s="444"/>
      <c r="AN21" s="444"/>
      <c r="AO21" s="444"/>
      <c r="AP21" s="444"/>
      <c r="AR21" s="56">
        <v>2</v>
      </c>
      <c r="AS21" s="56">
        <v>3</v>
      </c>
      <c r="AT21" s="60"/>
      <c r="AU21" s="60"/>
      <c r="AV21" s="60"/>
      <c r="AW21" s="58"/>
      <c r="AX21" s="79"/>
      <c r="AY21" s="79"/>
      <c r="AZ21" s="79"/>
      <c r="BA21" s="61"/>
      <c r="BB21" s="78"/>
      <c r="BC21" s="78"/>
      <c r="BD21" s="78"/>
      <c r="BE21" s="78"/>
      <c r="BF21" s="78"/>
      <c r="BG21" s="78"/>
      <c r="BH21" s="61"/>
      <c r="BI21" s="61"/>
      <c r="BJ21" s="61"/>
      <c r="BK21" s="61"/>
      <c r="BL21" s="61"/>
      <c r="BM21" s="61"/>
      <c r="BN21" s="61"/>
      <c r="BO21" s="61"/>
      <c r="BP21" s="78"/>
      <c r="BQ21" s="78"/>
      <c r="BR21" s="78"/>
      <c r="BS21" s="78"/>
      <c r="BT21" s="78"/>
      <c r="BU21" s="78"/>
      <c r="BV21" s="58"/>
      <c r="BW21" s="79"/>
      <c r="BX21" s="79"/>
      <c r="BY21" s="79"/>
      <c r="BZ21" s="61"/>
      <c r="CA21" s="79"/>
      <c r="CB21" s="79"/>
      <c r="CC21" s="79"/>
      <c r="CD21" s="79"/>
      <c r="CE21" s="79"/>
      <c r="CF21" s="79"/>
      <c r="CG21" s="79"/>
      <c r="CH21" s="58"/>
    </row>
    <row r="22" spans="1:86" ht="20.100000000000001" customHeight="1" x14ac:dyDescent="0.4">
      <c r="B22" s="472"/>
      <c r="C22" s="452"/>
      <c r="D22" s="452"/>
      <c r="E22" s="452"/>
      <c r="F22" s="444"/>
      <c r="G22" s="444"/>
      <c r="H22" s="444"/>
      <c r="I22" s="444"/>
      <c r="J22" s="446"/>
      <c r="K22" s="446"/>
      <c r="L22" s="446"/>
      <c r="M22" s="446"/>
      <c r="N22" s="446"/>
      <c r="O22" s="446"/>
      <c r="P22" s="446"/>
      <c r="Q22" s="450"/>
      <c r="R22" s="450"/>
      <c r="S22" s="220">
        <v>0</v>
      </c>
      <c r="T22" s="221" t="s">
        <v>30</v>
      </c>
      <c r="U22" s="220">
        <v>5</v>
      </c>
      <c r="V22" s="450"/>
      <c r="W22" s="450"/>
      <c r="X22" s="448"/>
      <c r="Y22" s="448"/>
      <c r="Z22" s="448"/>
      <c r="AA22" s="448"/>
      <c r="AB22" s="448"/>
      <c r="AC22" s="448"/>
      <c r="AD22" s="448"/>
      <c r="AE22" s="444"/>
      <c r="AF22" s="444"/>
      <c r="AG22" s="444"/>
      <c r="AH22" s="444"/>
      <c r="AI22" s="444"/>
      <c r="AJ22" s="444"/>
      <c r="AK22" s="444"/>
      <c r="AL22" s="444"/>
      <c r="AM22" s="444"/>
      <c r="AN22" s="444"/>
      <c r="AO22" s="444"/>
      <c r="AP22" s="444"/>
      <c r="AT22" s="60"/>
      <c r="AU22" s="60"/>
      <c r="AV22" s="60"/>
      <c r="AW22" s="79"/>
      <c r="AX22" s="79"/>
      <c r="AY22" s="79"/>
      <c r="AZ22" s="79"/>
      <c r="BA22" s="78"/>
      <c r="BB22" s="78"/>
      <c r="BC22" s="78"/>
      <c r="BD22" s="78"/>
      <c r="BE22" s="78"/>
      <c r="BF22" s="78"/>
      <c r="BG22" s="78"/>
      <c r="BH22" s="61"/>
      <c r="BI22" s="61"/>
      <c r="BJ22" s="61"/>
      <c r="BK22" s="61"/>
      <c r="BL22" s="61"/>
      <c r="BM22" s="61"/>
      <c r="BN22" s="61"/>
      <c r="BO22" s="78"/>
      <c r="BP22" s="78"/>
      <c r="BQ22" s="78"/>
      <c r="BR22" s="78"/>
      <c r="BS22" s="78"/>
      <c r="BT22" s="78"/>
      <c r="BU22" s="78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58"/>
    </row>
    <row r="23" spans="1:86" ht="20.100000000000001" customHeight="1" x14ac:dyDescent="0.4">
      <c r="B23" s="472">
        <v>6</v>
      </c>
      <c r="C23" s="452">
        <v>0.52777777777777779</v>
      </c>
      <c r="D23" s="452">
        <v>0.4375</v>
      </c>
      <c r="E23" s="452"/>
      <c r="F23" s="443"/>
      <c r="G23" s="444"/>
      <c r="H23" s="444"/>
      <c r="I23" s="444"/>
      <c r="J23" s="445" t="str">
        <f t="shared" ref="J23" si="12">IFERROR(VLOOKUP(AR23,$C$5:$N$7,3,0),"")&amp;IFERROR(VLOOKUP(AR23,$Q$5:$AB$7,3,0),"")&amp;IFERROR(VLOOKUP(AR23,$AE$5:$AP$7,3,0),"")</f>
        <v>雀宮ＦＣ</v>
      </c>
      <c r="K23" s="446"/>
      <c r="L23" s="446"/>
      <c r="M23" s="446"/>
      <c r="N23" s="446"/>
      <c r="O23" s="446"/>
      <c r="P23" s="446"/>
      <c r="Q23" s="450">
        <f t="shared" si="7"/>
        <v>0</v>
      </c>
      <c r="R23" s="450"/>
      <c r="S23" s="220">
        <v>0</v>
      </c>
      <c r="T23" s="221" t="s">
        <v>30</v>
      </c>
      <c r="U23" s="220">
        <v>0</v>
      </c>
      <c r="V23" s="450">
        <f t="shared" si="8"/>
        <v>0</v>
      </c>
      <c r="W23" s="450"/>
      <c r="X23" s="447" t="str">
        <f t="shared" ref="X23" si="13">IFERROR(VLOOKUP(AS23,$C$5:$N$7,3,0),"")&amp;IFERROR(VLOOKUP(AS23,$Q$5:$AB$7,3,0),"")&amp;IFERROR(VLOOKUP(AS23,$AE$5:$AP$7,3,0),"")</f>
        <v>富士見ＳＳＳ</v>
      </c>
      <c r="Y23" s="448"/>
      <c r="Z23" s="448"/>
      <c r="AA23" s="448"/>
      <c r="AB23" s="448"/>
      <c r="AC23" s="448"/>
      <c r="AD23" s="448"/>
      <c r="AE23" s="443"/>
      <c r="AF23" s="444"/>
      <c r="AG23" s="444"/>
      <c r="AH23" s="444"/>
      <c r="AI23" s="450" t="str">
        <f ca="1">DBCS(INDIRECT("U12対戦スケジュール!g"&amp;((ROW()-1)/2+13)))</f>
        <v>２／３／３／２</v>
      </c>
      <c r="AJ23" s="444"/>
      <c r="AK23" s="444"/>
      <c r="AL23" s="444"/>
      <c r="AM23" s="444"/>
      <c r="AN23" s="444"/>
      <c r="AO23" s="444"/>
      <c r="AP23" s="444"/>
      <c r="AR23" s="56">
        <v>5</v>
      </c>
      <c r="AS23" s="56">
        <v>6</v>
      </c>
      <c r="AT23" s="60"/>
      <c r="AU23" s="60"/>
      <c r="AV23" s="60"/>
      <c r="AW23" s="58"/>
      <c r="AX23" s="79"/>
      <c r="AY23" s="79"/>
      <c r="AZ23" s="79"/>
      <c r="BA23" s="61"/>
      <c r="BB23" s="78"/>
      <c r="BC23" s="78"/>
      <c r="BD23" s="78"/>
      <c r="BE23" s="78"/>
      <c r="BF23" s="78"/>
      <c r="BG23" s="78"/>
      <c r="BH23" s="61"/>
      <c r="BI23" s="61"/>
      <c r="BJ23" s="61"/>
      <c r="BK23" s="61"/>
      <c r="BL23" s="61"/>
      <c r="BM23" s="61"/>
      <c r="BN23" s="61"/>
      <c r="BO23" s="61"/>
      <c r="BP23" s="78"/>
      <c r="BQ23" s="78"/>
      <c r="BR23" s="78"/>
      <c r="BS23" s="78"/>
      <c r="BT23" s="78"/>
      <c r="BU23" s="78"/>
      <c r="BV23" s="58"/>
      <c r="BW23" s="79"/>
      <c r="BX23" s="79"/>
      <c r="BY23" s="79"/>
      <c r="BZ23" s="61"/>
      <c r="CA23" s="79"/>
      <c r="CB23" s="79"/>
      <c r="CC23" s="79"/>
      <c r="CD23" s="79"/>
      <c r="CE23" s="79"/>
      <c r="CF23" s="79"/>
      <c r="CG23" s="79"/>
      <c r="CH23" s="58"/>
    </row>
    <row r="24" spans="1:86" ht="20.100000000000001" customHeight="1" x14ac:dyDescent="0.4">
      <c r="B24" s="472"/>
      <c r="C24" s="452"/>
      <c r="D24" s="452"/>
      <c r="E24" s="452"/>
      <c r="F24" s="444"/>
      <c r="G24" s="444"/>
      <c r="H24" s="444"/>
      <c r="I24" s="444"/>
      <c r="J24" s="446"/>
      <c r="K24" s="446"/>
      <c r="L24" s="446"/>
      <c r="M24" s="446"/>
      <c r="N24" s="446"/>
      <c r="O24" s="446"/>
      <c r="P24" s="446"/>
      <c r="Q24" s="450"/>
      <c r="R24" s="450"/>
      <c r="S24" s="220">
        <v>0</v>
      </c>
      <c r="T24" s="221" t="s">
        <v>30</v>
      </c>
      <c r="U24" s="220">
        <v>0</v>
      </c>
      <c r="V24" s="450"/>
      <c r="W24" s="450"/>
      <c r="X24" s="448"/>
      <c r="Y24" s="448"/>
      <c r="Z24" s="448"/>
      <c r="AA24" s="448"/>
      <c r="AB24" s="448"/>
      <c r="AC24" s="448"/>
      <c r="AD24" s="448"/>
      <c r="AE24" s="444"/>
      <c r="AF24" s="444"/>
      <c r="AG24" s="444"/>
      <c r="AH24" s="444"/>
      <c r="AI24" s="444"/>
      <c r="AJ24" s="444"/>
      <c r="AK24" s="444"/>
      <c r="AL24" s="444"/>
      <c r="AM24" s="444"/>
      <c r="AN24" s="444"/>
      <c r="AO24" s="444"/>
      <c r="AP24" s="444"/>
      <c r="AR24" s="58"/>
      <c r="AS24" s="59"/>
      <c r="AT24" s="60"/>
      <c r="AU24" s="60"/>
      <c r="AV24" s="60"/>
      <c r="AW24" s="79"/>
      <c r="AX24" s="79"/>
      <c r="AY24" s="79"/>
      <c r="AZ24" s="79"/>
      <c r="BA24" s="78"/>
      <c r="BB24" s="78"/>
      <c r="BC24" s="78"/>
      <c r="BD24" s="78"/>
      <c r="BE24" s="78"/>
      <c r="BF24" s="78"/>
      <c r="BG24" s="78"/>
      <c r="BH24" s="61"/>
      <c r="BI24" s="61"/>
      <c r="BJ24" s="61"/>
      <c r="BK24" s="61"/>
      <c r="BL24" s="61"/>
      <c r="BM24" s="61"/>
      <c r="BN24" s="61"/>
      <c r="BO24" s="78"/>
      <c r="BP24" s="78"/>
      <c r="BQ24" s="78"/>
      <c r="BR24" s="78"/>
      <c r="BS24" s="78"/>
      <c r="BT24" s="78"/>
      <c r="BU24" s="78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58"/>
    </row>
    <row r="25" spans="1:86" ht="20.100000000000001" hidden="1" customHeight="1" x14ac:dyDescent="0.4">
      <c r="B25" s="606">
        <v>7</v>
      </c>
      <c r="C25" s="586">
        <v>0.58333333333333304</v>
      </c>
      <c r="D25" s="587">
        <v>0.4375</v>
      </c>
      <c r="E25" s="588"/>
      <c r="F25" s="592"/>
      <c r="G25" s="593"/>
      <c r="H25" s="593"/>
      <c r="I25" s="594"/>
      <c r="J25" s="554" t="str">
        <f>IFERROR(VLOOKUP(AR25,$C$5:$N$7,3,0),"")&amp;IFERROR(VLOOKUP(AR25,$Q$5:$AB$7,3,0),"")&amp;IFERROR(VLOOKUP(AR25,$AE$5:$AP$7,3,0),"")</f>
        <v/>
      </c>
      <c r="K25" s="598"/>
      <c r="L25" s="598"/>
      <c r="M25" s="598"/>
      <c r="N25" s="598"/>
      <c r="O25" s="598"/>
      <c r="P25" s="599"/>
      <c r="Q25" s="563" t="str">
        <f>IF(OR(S25="",S26=""),"",S25+S26)</f>
        <v/>
      </c>
      <c r="R25" s="564"/>
      <c r="S25" s="231"/>
      <c r="T25" s="232" t="s">
        <v>30</v>
      </c>
      <c r="U25" s="231"/>
      <c r="V25" s="563" t="str">
        <f>IF(OR(U25="",U26=""),"",U25+U26)</f>
        <v/>
      </c>
      <c r="W25" s="564"/>
      <c r="X25" s="559" t="str">
        <f>IFERROR(VLOOKUP(AS25,$C$5:$N$7,3,0),"")&amp;IFERROR(VLOOKUP(AS25,$Q$5:$AB$7,3,0),"")&amp;IFERROR(VLOOKUP(AS25,$AE$5:$AP$7,3,0),"")</f>
        <v/>
      </c>
      <c r="Y25" s="598"/>
      <c r="Z25" s="598"/>
      <c r="AA25" s="598"/>
      <c r="AB25" s="598"/>
      <c r="AC25" s="598"/>
      <c r="AD25" s="602"/>
      <c r="AE25" s="592"/>
      <c r="AF25" s="593"/>
      <c r="AG25" s="593"/>
      <c r="AH25" s="594"/>
      <c r="AI25" s="567" t="str">
        <f ca="1">DBCS(INDIRECT("U12対戦スケジュール!g"&amp;((ROW()-1)/2+13)))</f>
        <v/>
      </c>
      <c r="AJ25" s="581"/>
      <c r="AK25" s="581"/>
      <c r="AL25" s="581"/>
      <c r="AM25" s="581"/>
      <c r="AN25" s="581"/>
      <c r="AO25" s="581"/>
      <c r="AP25" s="582"/>
      <c r="AT25" s="60"/>
      <c r="AU25" s="60"/>
      <c r="AV25" s="60"/>
      <c r="AW25" s="58"/>
      <c r="AX25" s="79"/>
      <c r="AY25" s="79"/>
      <c r="AZ25" s="79"/>
      <c r="BA25" s="61"/>
      <c r="BB25" s="78"/>
      <c r="BC25" s="139"/>
      <c r="BD25" s="139"/>
      <c r="BE25" s="139"/>
      <c r="BF25" s="139"/>
      <c r="BG25" s="139"/>
      <c r="BH25" s="59"/>
      <c r="BI25" s="59"/>
      <c r="BJ25" s="61"/>
      <c r="BK25" s="61"/>
      <c r="BL25" s="61"/>
      <c r="BM25" s="61"/>
      <c r="BN25" s="61"/>
      <c r="BO25" s="61"/>
      <c r="BP25" s="78"/>
      <c r="BQ25" s="139"/>
      <c r="BR25" s="139"/>
      <c r="BS25" s="139"/>
      <c r="BT25" s="139"/>
      <c r="BU25" s="139"/>
      <c r="BV25" s="140"/>
      <c r="BW25" s="141"/>
      <c r="BX25" s="79"/>
      <c r="BY25" s="79"/>
      <c r="BZ25" s="61"/>
      <c r="CA25" s="79"/>
      <c r="CB25" s="79"/>
      <c r="CC25" s="79"/>
      <c r="CD25" s="79"/>
      <c r="CE25" s="79"/>
      <c r="CF25" s="79"/>
      <c r="CG25" s="79"/>
      <c r="CH25" s="58"/>
    </row>
    <row r="26" spans="1:86" ht="20.100000000000001" hidden="1" customHeight="1" thickBot="1" x14ac:dyDescent="0.45">
      <c r="B26" s="607"/>
      <c r="C26" s="589"/>
      <c r="D26" s="590"/>
      <c r="E26" s="591"/>
      <c r="F26" s="595"/>
      <c r="G26" s="596"/>
      <c r="H26" s="596"/>
      <c r="I26" s="597"/>
      <c r="J26" s="600"/>
      <c r="K26" s="600"/>
      <c r="L26" s="600"/>
      <c r="M26" s="600"/>
      <c r="N26" s="600"/>
      <c r="O26" s="600"/>
      <c r="P26" s="601"/>
      <c r="Q26" s="565"/>
      <c r="R26" s="566"/>
      <c r="S26" s="65"/>
      <c r="T26" s="132" t="s">
        <v>30</v>
      </c>
      <c r="U26" s="65"/>
      <c r="V26" s="565"/>
      <c r="W26" s="566"/>
      <c r="X26" s="603"/>
      <c r="Y26" s="600"/>
      <c r="Z26" s="600"/>
      <c r="AA26" s="600"/>
      <c r="AB26" s="600"/>
      <c r="AC26" s="600"/>
      <c r="AD26" s="604"/>
      <c r="AE26" s="595"/>
      <c r="AF26" s="596"/>
      <c r="AG26" s="596"/>
      <c r="AH26" s="597"/>
      <c r="AI26" s="583"/>
      <c r="AJ26" s="584"/>
      <c r="AK26" s="584"/>
      <c r="AL26" s="584"/>
      <c r="AM26" s="584"/>
      <c r="AN26" s="584"/>
      <c r="AO26" s="584"/>
      <c r="AP26" s="585"/>
      <c r="AR26" s="58"/>
      <c r="AS26" s="59"/>
      <c r="AT26" s="60"/>
      <c r="AU26" s="60"/>
      <c r="AV26" s="60"/>
      <c r="AW26" s="79"/>
      <c r="AX26" s="79"/>
      <c r="AY26" s="79"/>
      <c r="AZ26" s="79"/>
      <c r="BA26" s="78"/>
      <c r="BB26" s="78"/>
      <c r="BC26" s="139"/>
      <c r="BD26" s="139"/>
      <c r="BE26" s="139"/>
      <c r="BF26" s="139"/>
      <c r="BG26" s="139"/>
      <c r="BH26" s="59"/>
      <c r="BI26" s="59"/>
      <c r="BJ26" s="61"/>
      <c r="BK26" s="61"/>
      <c r="BL26" s="61"/>
      <c r="BM26" s="61"/>
      <c r="BN26" s="61"/>
      <c r="BO26" s="78"/>
      <c r="BP26" s="78"/>
      <c r="BQ26" s="139"/>
      <c r="BR26" s="139"/>
      <c r="BS26" s="139"/>
      <c r="BT26" s="139"/>
      <c r="BU26" s="139"/>
      <c r="BV26" s="141"/>
      <c r="BW26" s="141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58"/>
    </row>
    <row r="27" spans="1:86" s="55" customFormat="1" ht="15.75" customHeight="1" x14ac:dyDescent="0.4">
      <c r="A27" s="58"/>
      <c r="B27" s="59"/>
      <c r="C27" s="60"/>
      <c r="D27" s="60"/>
      <c r="E27" s="60"/>
      <c r="F27" s="59"/>
      <c r="G27" s="59"/>
      <c r="H27" s="59"/>
      <c r="I27" s="59"/>
      <c r="J27" s="59"/>
      <c r="K27" s="61"/>
      <c r="L27" s="61"/>
      <c r="M27" s="62"/>
      <c r="N27" s="63"/>
      <c r="O27" s="62"/>
      <c r="P27" s="61"/>
      <c r="Q27" s="61"/>
      <c r="R27" s="59"/>
      <c r="S27" s="59"/>
      <c r="T27" s="59"/>
      <c r="U27" s="59"/>
      <c r="V27" s="59"/>
      <c r="W27" s="66"/>
      <c r="X27" s="66"/>
      <c r="Y27" s="66"/>
      <c r="Z27" s="66"/>
      <c r="AA27" s="66"/>
      <c r="AB27" s="66"/>
      <c r="AC27" s="58"/>
      <c r="AR27" s="58"/>
      <c r="AS27" s="59"/>
      <c r="AT27" s="60"/>
      <c r="AU27" s="60"/>
      <c r="AV27" s="60"/>
      <c r="AW27" s="59"/>
      <c r="AX27" s="59"/>
      <c r="AY27" s="59"/>
      <c r="AZ27" s="59"/>
      <c r="BA27" s="59"/>
      <c r="BB27" s="61"/>
      <c r="BC27" s="61"/>
      <c r="BD27" s="62"/>
      <c r="BE27" s="63"/>
      <c r="BF27" s="62"/>
      <c r="BG27" s="61"/>
      <c r="BH27" s="61"/>
      <c r="BI27" s="59"/>
      <c r="BJ27" s="59"/>
      <c r="BK27" s="59"/>
      <c r="BL27" s="59"/>
      <c r="BM27" s="59"/>
      <c r="BN27" s="66"/>
      <c r="BO27" s="66"/>
      <c r="BP27" s="66"/>
      <c r="BQ27" s="66"/>
      <c r="BR27" s="66"/>
      <c r="BS27" s="66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</row>
    <row r="28" spans="1:86" ht="20.25" customHeight="1" x14ac:dyDescent="0.4">
      <c r="D28" s="477" t="s">
        <v>31</v>
      </c>
      <c r="E28" s="477"/>
      <c r="F28" s="477"/>
      <c r="G28" s="477"/>
      <c r="H28" s="477"/>
      <c r="I28" s="477"/>
      <c r="J28" s="477" t="s">
        <v>27</v>
      </c>
      <c r="K28" s="477"/>
      <c r="L28" s="477"/>
      <c r="M28" s="477"/>
      <c r="N28" s="477"/>
      <c r="O28" s="477"/>
      <c r="P28" s="477"/>
      <c r="Q28" s="477"/>
      <c r="R28" s="478" t="s">
        <v>32</v>
      </c>
      <c r="S28" s="478"/>
      <c r="T28" s="478"/>
      <c r="U28" s="478"/>
      <c r="V28" s="478"/>
      <c r="W28" s="478"/>
      <c r="X28" s="478"/>
      <c r="Y28" s="478"/>
      <c r="Z28" s="478"/>
      <c r="AA28" s="479" t="s">
        <v>33</v>
      </c>
      <c r="AB28" s="479"/>
      <c r="AC28" s="479"/>
      <c r="AD28" s="479" t="s">
        <v>34</v>
      </c>
      <c r="AE28" s="479"/>
      <c r="AF28" s="479"/>
      <c r="AG28" s="479"/>
      <c r="AH28" s="479"/>
      <c r="AI28" s="479"/>
      <c r="AJ28" s="479"/>
      <c r="AK28" s="479"/>
      <c r="AL28" s="479"/>
      <c r="AM28" s="479"/>
      <c r="AR28" s="58"/>
      <c r="AS28" s="58"/>
      <c r="AT28" s="58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61"/>
      <c r="BJ28" s="61"/>
      <c r="BK28" s="61"/>
      <c r="BL28" s="61"/>
      <c r="BM28" s="61"/>
      <c r="BN28" s="61"/>
      <c r="BO28" s="61"/>
      <c r="BP28" s="61"/>
      <c r="BQ28" s="61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58"/>
      <c r="CF28" s="58"/>
      <c r="CG28" s="58"/>
      <c r="CH28" s="58"/>
    </row>
    <row r="29" spans="1:86" ht="30" customHeight="1" x14ac:dyDescent="0.4">
      <c r="D29" s="477" t="s">
        <v>35</v>
      </c>
      <c r="E29" s="477"/>
      <c r="F29" s="477"/>
      <c r="G29" s="477"/>
      <c r="H29" s="477"/>
      <c r="I29" s="477"/>
      <c r="J29" s="477"/>
      <c r="K29" s="477"/>
      <c r="L29" s="477"/>
      <c r="M29" s="477"/>
      <c r="N29" s="477"/>
      <c r="O29" s="477"/>
      <c r="P29" s="477"/>
      <c r="Q29" s="477"/>
      <c r="R29" s="478"/>
      <c r="S29" s="478"/>
      <c r="T29" s="478"/>
      <c r="U29" s="478"/>
      <c r="V29" s="478"/>
      <c r="W29" s="478"/>
      <c r="X29" s="478"/>
      <c r="Y29" s="478"/>
      <c r="Z29" s="478"/>
      <c r="AA29" s="481"/>
      <c r="AB29" s="481"/>
      <c r="AC29" s="481"/>
      <c r="AD29" s="480"/>
      <c r="AE29" s="480"/>
      <c r="AF29" s="480"/>
      <c r="AG29" s="480"/>
      <c r="AH29" s="480"/>
      <c r="AI29" s="480"/>
      <c r="AJ29" s="480"/>
      <c r="AK29" s="480"/>
      <c r="AL29" s="480"/>
      <c r="AM29" s="480"/>
      <c r="AR29" s="58"/>
      <c r="AS29" s="58"/>
      <c r="AT29" s="58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61"/>
      <c r="BJ29" s="61"/>
      <c r="BK29" s="61"/>
      <c r="BL29" s="61"/>
      <c r="BM29" s="61"/>
      <c r="BN29" s="61"/>
      <c r="BO29" s="61"/>
      <c r="BP29" s="61"/>
      <c r="BQ29" s="61"/>
      <c r="BR29" s="81"/>
      <c r="BS29" s="81"/>
      <c r="BT29" s="81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58"/>
      <c r="CF29" s="58"/>
      <c r="CG29" s="58"/>
      <c r="CH29" s="58"/>
    </row>
    <row r="30" spans="1:86" ht="30" customHeight="1" x14ac:dyDescent="0.4">
      <c r="D30" s="477" t="s">
        <v>35</v>
      </c>
      <c r="E30" s="477"/>
      <c r="F30" s="477"/>
      <c r="G30" s="477"/>
      <c r="H30" s="477"/>
      <c r="I30" s="477"/>
      <c r="J30" s="477"/>
      <c r="K30" s="477"/>
      <c r="L30" s="477"/>
      <c r="M30" s="477"/>
      <c r="N30" s="477"/>
      <c r="O30" s="477"/>
      <c r="P30" s="477"/>
      <c r="Q30" s="477"/>
      <c r="R30" s="478"/>
      <c r="S30" s="478"/>
      <c r="T30" s="478"/>
      <c r="U30" s="478"/>
      <c r="V30" s="478"/>
      <c r="W30" s="478"/>
      <c r="X30" s="478"/>
      <c r="Y30" s="478"/>
      <c r="Z30" s="478"/>
      <c r="AA30" s="479"/>
      <c r="AB30" s="479"/>
      <c r="AC30" s="479"/>
      <c r="AD30" s="480"/>
      <c r="AE30" s="480"/>
      <c r="AF30" s="480"/>
      <c r="AG30" s="480"/>
      <c r="AH30" s="480"/>
      <c r="AI30" s="480"/>
      <c r="AJ30" s="480"/>
      <c r="AK30" s="480"/>
      <c r="AL30" s="480"/>
      <c r="AM30" s="480"/>
      <c r="AR30" s="58"/>
      <c r="AS30" s="58"/>
      <c r="AT30" s="58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61"/>
      <c r="BJ30" s="61"/>
      <c r="BK30" s="61"/>
      <c r="BL30" s="61"/>
      <c r="BM30" s="61"/>
      <c r="BN30" s="61"/>
      <c r="BO30" s="61"/>
      <c r="BP30" s="61"/>
      <c r="BQ30" s="61"/>
      <c r="BR30" s="63"/>
      <c r="BS30" s="63"/>
      <c r="BT30" s="6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58"/>
      <c r="CF30" s="58"/>
      <c r="CG30" s="58"/>
      <c r="CH30" s="58"/>
    </row>
    <row r="31" spans="1:86" ht="30" customHeight="1" x14ac:dyDescent="0.4">
      <c r="D31" s="477" t="s">
        <v>35</v>
      </c>
      <c r="E31" s="477"/>
      <c r="F31" s="477"/>
      <c r="G31" s="477"/>
      <c r="H31" s="477"/>
      <c r="I31" s="477"/>
      <c r="J31" s="477"/>
      <c r="K31" s="477"/>
      <c r="L31" s="477"/>
      <c r="M31" s="477"/>
      <c r="N31" s="477"/>
      <c r="O31" s="477"/>
      <c r="P31" s="477"/>
      <c r="Q31" s="477"/>
      <c r="R31" s="478"/>
      <c r="S31" s="478"/>
      <c r="T31" s="478"/>
      <c r="U31" s="478"/>
      <c r="V31" s="478"/>
      <c r="W31" s="478"/>
      <c r="X31" s="478"/>
      <c r="Y31" s="478"/>
      <c r="Z31" s="478"/>
      <c r="AA31" s="479"/>
      <c r="AB31" s="479"/>
      <c r="AC31" s="479"/>
      <c r="AD31" s="480"/>
      <c r="AE31" s="480"/>
      <c r="AF31" s="480"/>
      <c r="AG31" s="480"/>
      <c r="AH31" s="480"/>
      <c r="AI31" s="480"/>
      <c r="AJ31" s="480"/>
      <c r="AK31" s="480"/>
      <c r="AL31" s="480"/>
      <c r="AM31" s="480"/>
      <c r="AR31" s="58"/>
      <c r="AS31" s="58"/>
      <c r="AT31" s="58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61"/>
      <c r="BJ31" s="61"/>
      <c r="BK31" s="61"/>
      <c r="BL31" s="61"/>
      <c r="BM31" s="61"/>
      <c r="BN31" s="61"/>
      <c r="BO31" s="61"/>
      <c r="BP31" s="61"/>
      <c r="BQ31" s="61"/>
      <c r="BR31" s="63"/>
      <c r="BS31" s="63"/>
      <c r="BT31" s="6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58"/>
      <c r="CF31" s="58"/>
      <c r="CG31" s="58"/>
      <c r="CH31" s="58"/>
    </row>
    <row r="32" spans="1:86" ht="14.25" customHeight="1" x14ac:dyDescent="0.4">
      <c r="A32" s="451" t="s">
        <v>561</v>
      </c>
      <c r="B32" s="451"/>
      <c r="C32" s="451"/>
      <c r="D32" s="451"/>
      <c r="E32" s="451"/>
      <c r="F32" s="451"/>
      <c r="G32" s="451"/>
      <c r="H32" s="451"/>
      <c r="I32" s="451"/>
      <c r="J32" s="451"/>
      <c r="K32" s="451"/>
      <c r="L32" s="451"/>
      <c r="M32" s="451"/>
      <c r="N32" s="451"/>
      <c r="O32" s="451"/>
      <c r="P32" s="451"/>
      <c r="Q32" s="451"/>
      <c r="R32" s="451"/>
      <c r="S32" s="451"/>
      <c r="T32" s="451"/>
      <c r="U32" s="451"/>
      <c r="V32" s="451"/>
      <c r="W32" s="451"/>
      <c r="X32" s="451"/>
      <c r="Y32" s="451"/>
      <c r="Z32" s="451"/>
      <c r="AA32" s="451"/>
      <c r="AB32" s="451"/>
      <c r="AC32" s="451"/>
      <c r="AD32" s="451"/>
      <c r="AE32" s="451"/>
      <c r="AF32" s="451"/>
      <c r="AG32" s="451"/>
      <c r="AH32" s="451"/>
      <c r="AI32" s="451"/>
      <c r="AJ32" s="451"/>
      <c r="AK32" s="451"/>
      <c r="AL32" s="451"/>
      <c r="AM32" s="451"/>
      <c r="AN32" s="451"/>
      <c r="AO32" s="451"/>
      <c r="AP32" s="451"/>
      <c r="AQ32" s="451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</row>
    <row r="33" spans="1:86" ht="14.25" customHeight="1" x14ac:dyDescent="0.4">
      <c r="A33" s="451"/>
      <c r="B33" s="451"/>
      <c r="C33" s="451"/>
      <c r="D33" s="451"/>
      <c r="E33" s="451"/>
      <c r="F33" s="451"/>
      <c r="G33" s="451"/>
      <c r="H33" s="451"/>
      <c r="I33" s="451"/>
      <c r="J33" s="451"/>
      <c r="K33" s="451"/>
      <c r="L33" s="451"/>
      <c r="M33" s="451"/>
      <c r="N33" s="451"/>
      <c r="O33" s="451"/>
      <c r="P33" s="451"/>
      <c r="Q33" s="451"/>
      <c r="R33" s="451"/>
      <c r="S33" s="451"/>
      <c r="T33" s="451"/>
      <c r="U33" s="451"/>
      <c r="V33" s="451"/>
      <c r="W33" s="451"/>
      <c r="X33" s="451"/>
      <c r="Y33" s="451"/>
      <c r="Z33" s="451"/>
      <c r="AA33" s="451"/>
      <c r="AB33" s="451"/>
      <c r="AC33" s="451"/>
      <c r="AD33" s="451"/>
      <c r="AE33" s="451"/>
      <c r="AF33" s="451"/>
      <c r="AG33" s="451"/>
      <c r="AH33" s="451"/>
      <c r="AI33" s="451"/>
      <c r="AJ33" s="451"/>
      <c r="AK33" s="451"/>
      <c r="AL33" s="451"/>
      <c r="AM33" s="451"/>
      <c r="AN33" s="451"/>
      <c r="AO33" s="451"/>
      <c r="AP33" s="451"/>
      <c r="AQ33" s="451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</row>
    <row r="34" spans="1:86" ht="27.75" customHeight="1" x14ac:dyDescent="0.4">
      <c r="C34" s="460" t="s">
        <v>8</v>
      </c>
      <c r="D34" s="460"/>
      <c r="E34" s="460"/>
      <c r="F34" s="460"/>
      <c r="G34" s="482" t="str">
        <f>U12対戦スケジュール!F39</f>
        <v>石井緑地 No.１</v>
      </c>
      <c r="H34" s="483"/>
      <c r="I34" s="483"/>
      <c r="J34" s="483"/>
      <c r="K34" s="483"/>
      <c r="L34" s="483"/>
      <c r="M34" s="483"/>
      <c r="N34" s="483"/>
      <c r="O34" s="483"/>
      <c r="P34" s="460" t="s">
        <v>0</v>
      </c>
      <c r="Q34" s="460"/>
      <c r="R34" s="460"/>
      <c r="S34" s="460"/>
      <c r="T34" s="482" t="str">
        <f>U12対戦スケジュール!F40</f>
        <v>Ｓ４スペランツァ</v>
      </c>
      <c r="U34" s="483"/>
      <c r="V34" s="483"/>
      <c r="W34" s="483"/>
      <c r="X34" s="483"/>
      <c r="Y34" s="483"/>
      <c r="Z34" s="483"/>
      <c r="AA34" s="483"/>
      <c r="AB34" s="483"/>
      <c r="AC34" s="460" t="s">
        <v>9</v>
      </c>
      <c r="AD34" s="460"/>
      <c r="AE34" s="460"/>
      <c r="AF34" s="460"/>
      <c r="AG34" s="484">
        <f>U12組合せ!$B32</f>
        <v>43737</v>
      </c>
      <c r="AH34" s="485"/>
      <c r="AI34" s="485"/>
      <c r="AJ34" s="485"/>
      <c r="AK34" s="485"/>
      <c r="AL34" s="485"/>
      <c r="AM34" s="488" t="str">
        <f>"（"&amp;TEXT(AG34,"aaa")&amp;"）"</f>
        <v>（日）</v>
      </c>
      <c r="AN34" s="488"/>
      <c r="AO34" s="489"/>
      <c r="AR34" s="58"/>
      <c r="AS34" s="58"/>
      <c r="AT34" s="70"/>
      <c r="AU34" s="70"/>
      <c r="AV34" s="70"/>
      <c r="AW34" s="70"/>
      <c r="AX34" s="75"/>
      <c r="AY34" s="80"/>
      <c r="AZ34" s="80"/>
      <c r="BA34" s="80"/>
      <c r="BB34" s="80"/>
      <c r="BC34" s="80"/>
      <c r="BD34" s="80"/>
      <c r="BE34" s="80"/>
      <c r="BF34" s="80"/>
      <c r="BG34" s="70"/>
      <c r="BH34" s="70"/>
      <c r="BI34" s="70"/>
      <c r="BJ34" s="70"/>
      <c r="BK34" s="75"/>
      <c r="BL34" s="80"/>
      <c r="BM34" s="80"/>
      <c r="BN34" s="80"/>
      <c r="BO34" s="80"/>
      <c r="BP34" s="80"/>
      <c r="BQ34" s="80"/>
      <c r="BR34" s="80"/>
      <c r="BS34" s="80"/>
      <c r="BT34" s="70"/>
      <c r="BU34" s="70"/>
      <c r="BV34" s="70"/>
      <c r="BW34" s="70"/>
      <c r="BX34" s="82"/>
      <c r="BY34" s="82"/>
      <c r="BZ34" s="82"/>
      <c r="CA34" s="82"/>
      <c r="CB34" s="82"/>
      <c r="CC34" s="82"/>
      <c r="CD34" s="82"/>
      <c r="CE34" s="82"/>
      <c r="CF34" s="82"/>
      <c r="CG34" s="58"/>
      <c r="CH34" s="58"/>
    </row>
    <row r="35" spans="1:86" ht="15" customHeight="1" x14ac:dyDescent="0.4"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64"/>
      <c r="X35" s="64"/>
      <c r="Y35" s="64"/>
      <c r="Z35" s="64"/>
      <c r="AA35" s="64"/>
      <c r="AB35" s="64"/>
      <c r="AC35" s="64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68"/>
      <c r="BO35" s="68"/>
      <c r="BP35" s="68"/>
      <c r="BQ35" s="68"/>
      <c r="BR35" s="68"/>
      <c r="BS35" s="68"/>
      <c r="BT35" s="6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</row>
    <row r="36" spans="1:86" ht="18" customHeight="1" x14ac:dyDescent="0.4">
      <c r="C36" s="475">
        <v>1</v>
      </c>
      <c r="D36" s="475"/>
      <c r="E36" s="476" t="str">
        <f>U12組合せ!$J$14</f>
        <v>本郷北ＦＣ</v>
      </c>
      <c r="F36" s="476"/>
      <c r="G36" s="476"/>
      <c r="H36" s="476"/>
      <c r="I36" s="476"/>
      <c r="J36" s="476"/>
      <c r="K36" s="476"/>
      <c r="L36" s="476"/>
      <c r="M36" s="476"/>
      <c r="N36" s="476"/>
      <c r="O36" s="58"/>
      <c r="P36" s="58"/>
      <c r="Q36" s="475">
        <v>2</v>
      </c>
      <c r="R36" s="475"/>
      <c r="S36" s="476" t="str">
        <f>U12組合せ!$J$15</f>
        <v>みはらＳＣjr</v>
      </c>
      <c r="T36" s="476"/>
      <c r="U36" s="476"/>
      <c r="V36" s="476"/>
      <c r="W36" s="476"/>
      <c r="X36" s="476"/>
      <c r="Y36" s="476"/>
      <c r="Z36" s="476"/>
      <c r="AA36" s="476"/>
      <c r="AB36" s="476"/>
      <c r="AC36" s="68"/>
      <c r="AD36" s="55"/>
      <c r="AE36" s="475">
        <v>3</v>
      </c>
      <c r="AF36" s="475"/>
      <c r="AG36" s="476" t="str">
        <f>U12組合せ!$J$16</f>
        <v>Ｓ４スペランツァ</v>
      </c>
      <c r="AH36" s="476"/>
      <c r="AI36" s="476"/>
      <c r="AJ36" s="476"/>
      <c r="AK36" s="476"/>
      <c r="AL36" s="476"/>
      <c r="AM36" s="476"/>
      <c r="AN36" s="476"/>
      <c r="AO36" s="476"/>
      <c r="AP36" s="476"/>
      <c r="AR36" s="58"/>
      <c r="AS36" s="58"/>
      <c r="AT36" s="71"/>
      <c r="AU36" s="71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58"/>
      <c r="BG36" s="58"/>
      <c r="BH36" s="71"/>
      <c r="BI36" s="71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68"/>
      <c r="BU36" s="58"/>
      <c r="BV36" s="71"/>
      <c r="BW36" s="71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58"/>
    </row>
    <row r="37" spans="1:86" ht="18" customHeight="1" x14ac:dyDescent="0.4">
      <c r="C37" s="475">
        <v>4</v>
      </c>
      <c r="D37" s="475"/>
      <c r="E37" s="476" t="str">
        <f>U12組合せ!$J$17</f>
        <v>カテット白沢ＳＳ</v>
      </c>
      <c r="F37" s="476"/>
      <c r="G37" s="476"/>
      <c r="H37" s="476"/>
      <c r="I37" s="476"/>
      <c r="J37" s="476"/>
      <c r="K37" s="476"/>
      <c r="L37" s="476"/>
      <c r="M37" s="476"/>
      <c r="N37" s="476"/>
      <c r="O37" s="58"/>
      <c r="P37" s="58"/>
      <c r="Q37" s="475">
        <v>5</v>
      </c>
      <c r="R37" s="475"/>
      <c r="S37" s="476" t="str">
        <f>U12組合せ!$J$18</f>
        <v>雀宮ＦＣ</v>
      </c>
      <c r="T37" s="476"/>
      <c r="U37" s="476"/>
      <c r="V37" s="476"/>
      <c r="W37" s="476"/>
      <c r="X37" s="476"/>
      <c r="Y37" s="476"/>
      <c r="Z37" s="476"/>
      <c r="AA37" s="476"/>
      <c r="AB37" s="476"/>
      <c r="AC37" s="68"/>
      <c r="AD37" s="55"/>
      <c r="AE37" s="475">
        <v>6</v>
      </c>
      <c r="AF37" s="475"/>
      <c r="AG37" s="476" t="str">
        <f>U12組合せ!$J$19</f>
        <v>富士見ＳＳＳ</v>
      </c>
      <c r="AH37" s="476"/>
      <c r="AI37" s="476"/>
      <c r="AJ37" s="476"/>
      <c r="AK37" s="476"/>
      <c r="AL37" s="476"/>
      <c r="AM37" s="476"/>
      <c r="AN37" s="476"/>
      <c r="AO37" s="476"/>
      <c r="AP37" s="476"/>
      <c r="AR37" s="58"/>
      <c r="AS37" s="58"/>
      <c r="AT37" s="71"/>
      <c r="AU37" s="71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58"/>
      <c r="BG37" s="58"/>
      <c r="BH37" s="71"/>
      <c r="BI37" s="71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68"/>
      <c r="BU37" s="58"/>
      <c r="BV37" s="71"/>
      <c r="BW37" s="71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58"/>
    </row>
    <row r="38" spans="1:86" ht="18" customHeight="1" x14ac:dyDescent="0.4">
      <c r="C38" s="475">
        <v>7</v>
      </c>
      <c r="D38" s="475"/>
      <c r="E38" s="476" t="str">
        <f>U12組合せ!$J$20</f>
        <v>ＦＣみらいＶ</v>
      </c>
      <c r="F38" s="476"/>
      <c r="G38" s="476"/>
      <c r="H38" s="476"/>
      <c r="I38" s="476"/>
      <c r="J38" s="476"/>
      <c r="K38" s="476"/>
      <c r="L38" s="476"/>
      <c r="M38" s="476"/>
      <c r="N38" s="476"/>
      <c r="O38" s="58"/>
      <c r="P38" s="58"/>
      <c r="Q38" s="475">
        <v>8</v>
      </c>
      <c r="R38" s="475"/>
      <c r="S38" s="476" t="str">
        <f>U12組合せ!$J$21</f>
        <v>上河内ＪＳＣ</v>
      </c>
      <c r="T38" s="476"/>
      <c r="U38" s="476"/>
      <c r="V38" s="476"/>
      <c r="W38" s="476"/>
      <c r="X38" s="476"/>
      <c r="Y38" s="476"/>
      <c r="Z38" s="476"/>
      <c r="AA38" s="476"/>
      <c r="AB38" s="476"/>
      <c r="AC38" s="68"/>
      <c r="AD38" s="55"/>
      <c r="AE38" s="475">
        <v>9</v>
      </c>
      <c r="AF38" s="475"/>
      <c r="AG38" s="476" t="str">
        <f>U12組合せ!$J$22</f>
        <v>ジュベニール</v>
      </c>
      <c r="AH38" s="476"/>
      <c r="AI38" s="476"/>
      <c r="AJ38" s="476"/>
      <c r="AK38" s="476"/>
      <c r="AL38" s="476"/>
      <c r="AM38" s="476"/>
      <c r="AN38" s="476"/>
      <c r="AO38" s="476"/>
      <c r="AP38" s="476"/>
      <c r="AR38" s="58"/>
      <c r="AS38" s="58"/>
      <c r="AT38" s="71"/>
      <c r="AU38" s="71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58"/>
      <c r="BG38" s="58"/>
      <c r="BH38" s="71"/>
      <c r="BI38" s="71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68"/>
      <c r="BU38" s="58"/>
      <c r="BV38" s="71"/>
      <c r="BW38" s="71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58"/>
    </row>
    <row r="39" spans="1:86" ht="18" customHeight="1" x14ac:dyDescent="0.4">
      <c r="C39" s="475"/>
      <c r="D39" s="475"/>
      <c r="E39" s="476"/>
      <c r="F39" s="476"/>
      <c r="G39" s="476"/>
      <c r="H39" s="476"/>
      <c r="I39" s="476"/>
      <c r="J39" s="476"/>
      <c r="K39" s="476"/>
      <c r="L39" s="476"/>
      <c r="M39" s="476"/>
      <c r="N39" s="476"/>
      <c r="O39" s="58"/>
      <c r="P39" s="58"/>
      <c r="Q39" s="475"/>
      <c r="R39" s="475"/>
      <c r="S39" s="476"/>
      <c r="T39" s="476"/>
      <c r="U39" s="476"/>
      <c r="V39" s="476"/>
      <c r="W39" s="476"/>
      <c r="X39" s="476"/>
      <c r="Y39" s="476"/>
      <c r="Z39" s="476"/>
      <c r="AA39" s="476"/>
      <c r="AB39" s="476"/>
      <c r="AC39" s="68"/>
      <c r="AD39" s="55"/>
      <c r="AE39" s="475"/>
      <c r="AF39" s="475"/>
      <c r="AG39" s="476"/>
      <c r="AH39" s="476"/>
      <c r="AI39" s="476"/>
      <c r="AJ39" s="476"/>
      <c r="AK39" s="476"/>
      <c r="AL39" s="476"/>
      <c r="AM39" s="476"/>
      <c r="AN39" s="476"/>
      <c r="AO39" s="476"/>
      <c r="AP39" s="476"/>
      <c r="AR39" s="58"/>
      <c r="AS39" s="58"/>
      <c r="AT39" s="71"/>
      <c r="AU39" s="71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58"/>
      <c r="BG39" s="58"/>
      <c r="BH39" s="71"/>
      <c r="BI39" s="71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68"/>
      <c r="BU39" s="58"/>
      <c r="BV39" s="71"/>
      <c r="BW39" s="71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58"/>
    </row>
    <row r="40" spans="1:86" ht="18" customHeight="1" x14ac:dyDescent="0.4">
      <c r="B40" s="57"/>
      <c r="C40" s="475"/>
      <c r="D40" s="475"/>
      <c r="E40" s="476"/>
      <c r="F40" s="476"/>
      <c r="G40" s="476"/>
      <c r="H40" s="476"/>
      <c r="I40" s="476"/>
      <c r="J40" s="476"/>
      <c r="K40" s="476"/>
      <c r="L40" s="476"/>
      <c r="M40" s="476"/>
      <c r="N40" s="476"/>
      <c r="O40" s="58"/>
      <c r="P40" s="58"/>
      <c r="Q40" s="475"/>
      <c r="R40" s="475"/>
      <c r="S40" s="476"/>
      <c r="T40" s="476"/>
      <c r="U40" s="476"/>
      <c r="V40" s="476"/>
      <c r="W40" s="476"/>
      <c r="X40" s="476"/>
      <c r="Y40" s="476"/>
      <c r="Z40" s="476"/>
      <c r="AA40" s="476"/>
      <c r="AB40" s="476"/>
      <c r="AC40" s="68"/>
      <c r="AD40" s="55"/>
      <c r="AE40" s="475"/>
      <c r="AF40" s="475"/>
      <c r="AG40" s="476"/>
      <c r="AH40" s="476"/>
      <c r="AI40" s="476"/>
      <c r="AJ40" s="476"/>
      <c r="AK40" s="476"/>
      <c r="AL40" s="476"/>
      <c r="AM40" s="476"/>
      <c r="AN40" s="476"/>
      <c r="AO40" s="476"/>
      <c r="AP40" s="476"/>
      <c r="AQ40" s="57"/>
      <c r="AR40" s="58"/>
      <c r="AS40" s="58"/>
      <c r="AT40" s="71"/>
      <c r="AU40" s="71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58"/>
      <c r="BG40" s="58"/>
      <c r="BH40" s="71"/>
      <c r="BI40" s="71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68"/>
      <c r="BU40" s="58"/>
      <c r="BV40" s="71"/>
      <c r="BW40" s="71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58"/>
    </row>
    <row r="41" spans="1:86" ht="18" customHeight="1" x14ac:dyDescent="0.4">
      <c r="C41" s="524"/>
      <c r="D41" s="524"/>
      <c r="E41" s="546"/>
      <c r="F41" s="546"/>
      <c r="G41" s="546"/>
      <c r="H41" s="546"/>
      <c r="I41" s="546"/>
      <c r="J41" s="546"/>
      <c r="K41" s="546"/>
      <c r="L41" s="546"/>
      <c r="M41" s="546"/>
      <c r="N41" s="546"/>
      <c r="O41" s="58"/>
      <c r="P41" s="58"/>
      <c r="Q41" s="524"/>
      <c r="R41" s="524"/>
      <c r="S41" s="546"/>
      <c r="T41" s="546"/>
      <c r="U41" s="546"/>
      <c r="V41" s="546"/>
      <c r="W41" s="546"/>
      <c r="X41" s="546"/>
      <c r="Y41" s="546"/>
      <c r="Z41" s="546"/>
      <c r="AA41" s="546"/>
      <c r="AB41" s="546"/>
      <c r="AC41" s="68"/>
      <c r="AD41" s="58"/>
      <c r="AE41" s="524"/>
      <c r="AF41" s="524"/>
      <c r="AG41" s="546"/>
      <c r="AH41" s="546"/>
      <c r="AI41" s="546"/>
      <c r="AJ41" s="546"/>
      <c r="AK41" s="546"/>
      <c r="AL41" s="546"/>
      <c r="AM41" s="546"/>
      <c r="AN41" s="546"/>
      <c r="AO41" s="546"/>
      <c r="AP41" s="546"/>
      <c r="AR41" s="58"/>
      <c r="AS41" s="58"/>
      <c r="AT41" s="71"/>
      <c r="AU41" s="71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58"/>
      <c r="BG41" s="58"/>
      <c r="BH41" s="71"/>
      <c r="BI41" s="71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68"/>
      <c r="BU41" s="58"/>
      <c r="BV41" s="71"/>
      <c r="BW41" s="71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58"/>
    </row>
    <row r="42" spans="1:86" ht="21" customHeight="1" x14ac:dyDescent="0.4">
      <c r="B42" s="56" t="s">
        <v>568</v>
      </c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</row>
    <row r="43" spans="1:86" ht="20.25" customHeight="1" x14ac:dyDescent="0.4">
      <c r="B43" s="219"/>
      <c r="C43" s="456" t="s">
        <v>25</v>
      </c>
      <c r="D43" s="456"/>
      <c r="E43" s="456"/>
      <c r="F43" s="458" t="s">
        <v>26</v>
      </c>
      <c r="G43" s="459"/>
      <c r="H43" s="459"/>
      <c r="I43" s="459"/>
      <c r="J43" s="456" t="s">
        <v>27</v>
      </c>
      <c r="K43" s="457"/>
      <c r="L43" s="457"/>
      <c r="M43" s="457"/>
      <c r="N43" s="457"/>
      <c r="O43" s="457"/>
      <c r="P43" s="457"/>
      <c r="Q43" s="456" t="s">
        <v>570</v>
      </c>
      <c r="R43" s="456"/>
      <c r="S43" s="456"/>
      <c r="T43" s="456"/>
      <c r="U43" s="456"/>
      <c r="V43" s="456"/>
      <c r="W43" s="456"/>
      <c r="X43" s="456" t="s">
        <v>27</v>
      </c>
      <c r="Y43" s="457"/>
      <c r="Z43" s="457"/>
      <c r="AA43" s="457"/>
      <c r="AB43" s="457"/>
      <c r="AC43" s="457"/>
      <c r="AD43" s="457"/>
      <c r="AE43" s="458" t="s">
        <v>26</v>
      </c>
      <c r="AF43" s="459"/>
      <c r="AG43" s="459"/>
      <c r="AH43" s="459"/>
      <c r="AI43" s="456" t="s">
        <v>29</v>
      </c>
      <c r="AJ43" s="456"/>
      <c r="AK43" s="457"/>
      <c r="AL43" s="457"/>
      <c r="AM43" s="457"/>
      <c r="AN43" s="457"/>
      <c r="AO43" s="457"/>
      <c r="AP43" s="457"/>
      <c r="AR43" s="58"/>
      <c r="AS43" s="73"/>
      <c r="AT43" s="74"/>
      <c r="AU43" s="74"/>
      <c r="AV43" s="74"/>
      <c r="AW43" s="76"/>
      <c r="AX43" s="77"/>
      <c r="AY43" s="77"/>
      <c r="AZ43" s="77"/>
      <c r="BA43" s="74"/>
      <c r="BB43" s="78"/>
      <c r="BC43" s="78"/>
      <c r="BD43" s="78"/>
      <c r="BE43" s="78"/>
      <c r="BF43" s="78"/>
      <c r="BG43" s="78"/>
      <c r="BH43" s="74"/>
      <c r="BI43" s="74"/>
      <c r="BJ43" s="74"/>
      <c r="BK43" s="74"/>
      <c r="BL43" s="74"/>
      <c r="BM43" s="74"/>
      <c r="BN43" s="74"/>
      <c r="BO43" s="74"/>
      <c r="BP43" s="78"/>
      <c r="BQ43" s="78"/>
      <c r="BR43" s="78"/>
      <c r="BS43" s="78"/>
      <c r="BT43" s="78"/>
      <c r="BU43" s="78"/>
      <c r="BV43" s="76"/>
      <c r="BW43" s="77"/>
      <c r="BX43" s="77"/>
      <c r="BY43" s="77"/>
      <c r="BZ43" s="74"/>
      <c r="CA43" s="74"/>
      <c r="CB43" s="78"/>
      <c r="CC43" s="78"/>
      <c r="CD43" s="78"/>
      <c r="CE43" s="78"/>
      <c r="CF43" s="78"/>
      <c r="CG43" s="78"/>
      <c r="CH43" s="58"/>
    </row>
    <row r="44" spans="1:86" ht="20.100000000000001" customHeight="1" x14ac:dyDescent="0.4">
      <c r="B44" s="472">
        <v>1</v>
      </c>
      <c r="C44" s="452">
        <v>0.35416666666666669</v>
      </c>
      <c r="D44" s="452"/>
      <c r="E44" s="452"/>
      <c r="F44" s="443"/>
      <c r="G44" s="444"/>
      <c r="H44" s="444"/>
      <c r="I44" s="444"/>
      <c r="J44" s="445" t="str">
        <f>IFERROR(VLOOKUP(AR44,$C$36:$N$38,3,0),"")&amp;IFERROR(VLOOKUP(AR44,$Q$36:$AB$38,3,0),"")&amp;IFERROR(VLOOKUP(AR44,$AE$36:$AP$38,3,0),"")</f>
        <v>ジュベニール</v>
      </c>
      <c r="K44" s="446"/>
      <c r="L44" s="446"/>
      <c r="M44" s="446"/>
      <c r="N44" s="446"/>
      <c r="O44" s="446"/>
      <c r="P44" s="446"/>
      <c r="Q44" s="450">
        <f t="shared" ref="Q44:Q48" si="14">IF(OR(S44="",S45=""),"",S44+S45)</f>
        <v>1</v>
      </c>
      <c r="R44" s="450"/>
      <c r="S44" s="233">
        <v>1</v>
      </c>
      <c r="T44" s="234" t="s">
        <v>282</v>
      </c>
      <c r="U44" s="233">
        <v>0</v>
      </c>
      <c r="V44" s="450">
        <f t="shared" ref="V44:V48" si="15">IF(OR(U44="",U45=""),"",U44+U45)</f>
        <v>5</v>
      </c>
      <c r="W44" s="450"/>
      <c r="X44" s="447" t="str">
        <f>IFERROR(VLOOKUP(AS44,$C$36:$N$38,3,0),"")&amp;IFERROR(VLOOKUP(AS44,$Q$36:$AB$38,3,0),"")&amp;IFERROR(VLOOKUP(AS44,$AE$36:$AP$38,3,0),"")</f>
        <v>Ｓ４スペランツァ</v>
      </c>
      <c r="Y44" s="448"/>
      <c r="Z44" s="448"/>
      <c r="AA44" s="448"/>
      <c r="AB44" s="448"/>
      <c r="AC44" s="448"/>
      <c r="AD44" s="448"/>
      <c r="AE44" s="443"/>
      <c r="AF44" s="444"/>
      <c r="AG44" s="444"/>
      <c r="AH44" s="444"/>
      <c r="AI44" s="450" t="str">
        <f ca="1">DBCS(INDIRECT("U12対戦スケジュール!g"&amp;(ROW()/2+19)))</f>
        <v>７／１／１／７</v>
      </c>
      <c r="AJ44" s="444"/>
      <c r="AK44" s="444"/>
      <c r="AL44" s="444"/>
      <c r="AM44" s="444"/>
      <c r="AN44" s="444"/>
      <c r="AO44" s="444"/>
      <c r="AP44" s="444"/>
      <c r="AR44" s="56">
        <v>9</v>
      </c>
      <c r="AS44" s="56">
        <v>3</v>
      </c>
      <c r="AT44" s="60"/>
      <c r="AU44" s="60"/>
      <c r="AV44" s="60"/>
      <c r="AW44" s="58"/>
      <c r="AX44" s="79"/>
      <c r="AY44" s="79"/>
      <c r="AZ44" s="79"/>
      <c r="BA44" s="61"/>
      <c r="BB44" s="78"/>
      <c r="BC44" s="78"/>
      <c r="BD44" s="78"/>
      <c r="BE44" s="78"/>
      <c r="BF44" s="78"/>
      <c r="BG44" s="78"/>
      <c r="BH44" s="61"/>
      <c r="BI44" s="61"/>
      <c r="BJ44" s="61"/>
      <c r="BK44" s="61"/>
      <c r="BL44" s="61"/>
      <c r="BM44" s="61"/>
      <c r="BN44" s="61"/>
      <c r="BO44" s="61"/>
      <c r="BP44" s="78"/>
      <c r="BQ44" s="78"/>
      <c r="BR44" s="78"/>
      <c r="BS44" s="78"/>
      <c r="BT44" s="78"/>
      <c r="BU44" s="78"/>
      <c r="BV44" s="58"/>
      <c r="BW44" s="79"/>
      <c r="BX44" s="79"/>
      <c r="BY44" s="79"/>
      <c r="BZ44" s="61"/>
      <c r="CA44" s="79"/>
      <c r="CB44" s="79"/>
      <c r="CC44" s="79"/>
      <c r="CD44" s="79"/>
      <c r="CE44" s="79"/>
      <c r="CF44" s="79"/>
      <c r="CG44" s="79"/>
      <c r="CH44" s="58"/>
    </row>
    <row r="45" spans="1:86" ht="20.100000000000001" customHeight="1" x14ac:dyDescent="0.4">
      <c r="B45" s="472"/>
      <c r="C45" s="452"/>
      <c r="D45" s="452"/>
      <c r="E45" s="452"/>
      <c r="F45" s="444"/>
      <c r="G45" s="444"/>
      <c r="H45" s="444"/>
      <c r="I45" s="444"/>
      <c r="J45" s="446"/>
      <c r="K45" s="446"/>
      <c r="L45" s="446"/>
      <c r="M45" s="446"/>
      <c r="N45" s="446"/>
      <c r="O45" s="446"/>
      <c r="P45" s="446"/>
      <c r="Q45" s="450"/>
      <c r="R45" s="450"/>
      <c r="S45" s="233">
        <v>0</v>
      </c>
      <c r="T45" s="234" t="s">
        <v>282</v>
      </c>
      <c r="U45" s="233">
        <v>5</v>
      </c>
      <c r="V45" s="450"/>
      <c r="W45" s="450"/>
      <c r="X45" s="448"/>
      <c r="Y45" s="448"/>
      <c r="Z45" s="448"/>
      <c r="AA45" s="448"/>
      <c r="AB45" s="448"/>
      <c r="AC45" s="448"/>
      <c r="AD45" s="448"/>
      <c r="AE45" s="444"/>
      <c r="AF45" s="444"/>
      <c r="AG45" s="444"/>
      <c r="AH45" s="444"/>
      <c r="AI45" s="444"/>
      <c r="AJ45" s="444"/>
      <c r="AK45" s="444"/>
      <c r="AL45" s="444"/>
      <c r="AM45" s="444"/>
      <c r="AN45" s="444"/>
      <c r="AO45" s="444"/>
      <c r="AP45" s="444"/>
      <c r="AT45" s="60"/>
      <c r="AU45" s="60"/>
      <c r="AV45" s="60"/>
      <c r="AW45" s="79"/>
      <c r="AX45" s="79"/>
      <c r="AY45" s="79"/>
      <c r="AZ45" s="79"/>
      <c r="BA45" s="78"/>
      <c r="BB45" s="78"/>
      <c r="BC45" s="78"/>
      <c r="BD45" s="78"/>
      <c r="BE45" s="78"/>
      <c r="BF45" s="78"/>
      <c r="BG45" s="78"/>
      <c r="BH45" s="61"/>
      <c r="BI45" s="61"/>
      <c r="BJ45" s="61"/>
      <c r="BK45" s="61"/>
      <c r="BL45" s="61"/>
      <c r="BM45" s="61"/>
      <c r="BN45" s="61"/>
      <c r="BO45" s="78"/>
      <c r="BP45" s="78"/>
      <c r="BQ45" s="78"/>
      <c r="BR45" s="78"/>
      <c r="BS45" s="78"/>
      <c r="BT45" s="78"/>
      <c r="BU45" s="78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58"/>
    </row>
    <row r="46" spans="1:86" ht="20.100000000000001" customHeight="1" x14ac:dyDescent="0.4">
      <c r="B46" s="472">
        <v>2</v>
      </c>
      <c r="C46" s="452">
        <v>0.3888888888888889</v>
      </c>
      <c r="D46" s="452">
        <v>0.4375</v>
      </c>
      <c r="E46" s="452"/>
      <c r="F46" s="443"/>
      <c r="G46" s="444"/>
      <c r="H46" s="444"/>
      <c r="I46" s="444"/>
      <c r="J46" s="445" t="str">
        <f t="shared" ref="J46" si="16">IFERROR(VLOOKUP(AR46,$C$36:$N$38,3,0),"")&amp;IFERROR(VLOOKUP(AR46,$Q$36:$AB$38,3,0),"")&amp;IFERROR(VLOOKUP(AR46,$AE$36:$AP$38,3,0),"")</f>
        <v>ＦＣみらいＶ</v>
      </c>
      <c r="K46" s="446"/>
      <c r="L46" s="446"/>
      <c r="M46" s="446"/>
      <c r="N46" s="446"/>
      <c r="O46" s="446"/>
      <c r="P46" s="446"/>
      <c r="Q46" s="450">
        <f t="shared" si="14"/>
        <v>1</v>
      </c>
      <c r="R46" s="450"/>
      <c r="S46" s="233">
        <v>0</v>
      </c>
      <c r="T46" s="234" t="s">
        <v>282</v>
      </c>
      <c r="U46" s="233">
        <v>0</v>
      </c>
      <c r="V46" s="450">
        <f t="shared" si="15"/>
        <v>0</v>
      </c>
      <c r="W46" s="450"/>
      <c r="X46" s="447" t="str">
        <f t="shared" ref="X46" si="17">IFERROR(VLOOKUP(AS46,$C$36:$N$38,3,0),"")&amp;IFERROR(VLOOKUP(AS46,$Q$36:$AB$38,3,0),"")&amp;IFERROR(VLOOKUP(AS46,$AE$36:$AP$38,3,0),"")</f>
        <v>本郷北ＦＣ</v>
      </c>
      <c r="Y46" s="448"/>
      <c r="Z46" s="448"/>
      <c r="AA46" s="448"/>
      <c r="AB46" s="448"/>
      <c r="AC46" s="448"/>
      <c r="AD46" s="448"/>
      <c r="AE46" s="443"/>
      <c r="AF46" s="444"/>
      <c r="AG46" s="444"/>
      <c r="AH46" s="444"/>
      <c r="AI46" s="450" t="str">
        <f ca="1">DBCS(INDIRECT("U12対戦スケジュール!g"&amp;(ROW()/2+19)))</f>
        <v>９／３／３／９</v>
      </c>
      <c r="AJ46" s="444"/>
      <c r="AK46" s="444"/>
      <c r="AL46" s="444"/>
      <c r="AM46" s="444"/>
      <c r="AN46" s="444"/>
      <c r="AO46" s="444"/>
      <c r="AP46" s="444"/>
      <c r="AR46" s="56">
        <v>7</v>
      </c>
      <c r="AS46" s="56">
        <v>1</v>
      </c>
      <c r="AT46" s="60"/>
      <c r="AU46" s="60"/>
      <c r="AV46" s="60"/>
      <c r="AW46" s="58"/>
      <c r="AX46" s="79"/>
      <c r="AY46" s="79"/>
      <c r="AZ46" s="79"/>
      <c r="BA46" s="61"/>
      <c r="BB46" s="78"/>
      <c r="BC46" s="78"/>
      <c r="BD46" s="78"/>
      <c r="BE46" s="78"/>
      <c r="BF46" s="78"/>
      <c r="BG46" s="78"/>
      <c r="BH46" s="61"/>
      <c r="BI46" s="61"/>
      <c r="BJ46" s="61"/>
      <c r="BK46" s="61"/>
      <c r="BL46" s="61"/>
      <c r="BM46" s="61"/>
      <c r="BN46" s="61"/>
      <c r="BO46" s="61"/>
      <c r="BP46" s="78"/>
      <c r="BQ46" s="78"/>
      <c r="BR46" s="78"/>
      <c r="BS46" s="78"/>
      <c r="BT46" s="78"/>
      <c r="BU46" s="78"/>
      <c r="BV46" s="58"/>
      <c r="BW46" s="79"/>
      <c r="BX46" s="79"/>
      <c r="BY46" s="79"/>
      <c r="BZ46" s="61"/>
      <c r="CA46" s="79"/>
      <c r="CB46" s="79"/>
      <c r="CC46" s="79"/>
      <c r="CD46" s="79"/>
      <c r="CE46" s="79"/>
      <c r="CF46" s="79"/>
      <c r="CG46" s="79"/>
      <c r="CH46" s="58"/>
    </row>
    <row r="47" spans="1:86" ht="20.100000000000001" customHeight="1" x14ac:dyDescent="0.4">
      <c r="B47" s="472"/>
      <c r="C47" s="452"/>
      <c r="D47" s="452"/>
      <c r="E47" s="452"/>
      <c r="F47" s="444"/>
      <c r="G47" s="444"/>
      <c r="H47" s="444"/>
      <c r="I47" s="444"/>
      <c r="J47" s="446"/>
      <c r="K47" s="446"/>
      <c r="L47" s="446"/>
      <c r="M47" s="446"/>
      <c r="N47" s="446"/>
      <c r="O47" s="446"/>
      <c r="P47" s="446"/>
      <c r="Q47" s="450"/>
      <c r="R47" s="450"/>
      <c r="S47" s="233">
        <v>1</v>
      </c>
      <c r="T47" s="234" t="s">
        <v>282</v>
      </c>
      <c r="U47" s="233">
        <v>0</v>
      </c>
      <c r="V47" s="450"/>
      <c r="W47" s="450"/>
      <c r="X47" s="448"/>
      <c r="Y47" s="448"/>
      <c r="Z47" s="448"/>
      <c r="AA47" s="448"/>
      <c r="AB47" s="448"/>
      <c r="AC47" s="448"/>
      <c r="AD47" s="448"/>
      <c r="AE47" s="444"/>
      <c r="AF47" s="444"/>
      <c r="AG47" s="444"/>
      <c r="AH47" s="444"/>
      <c r="AI47" s="444"/>
      <c r="AJ47" s="444"/>
      <c r="AK47" s="444"/>
      <c r="AL47" s="444"/>
      <c r="AM47" s="444"/>
      <c r="AN47" s="444"/>
      <c r="AO47" s="444"/>
      <c r="AP47" s="444"/>
      <c r="AT47" s="60"/>
      <c r="AU47" s="60"/>
      <c r="AV47" s="60"/>
      <c r="AW47" s="79"/>
      <c r="AX47" s="79"/>
      <c r="AY47" s="79"/>
      <c r="AZ47" s="79"/>
      <c r="BA47" s="78"/>
      <c r="BB47" s="78"/>
      <c r="BC47" s="78"/>
      <c r="BD47" s="78"/>
      <c r="BE47" s="78"/>
      <c r="BF47" s="78"/>
      <c r="BG47" s="78"/>
      <c r="BH47" s="61"/>
      <c r="BI47" s="61"/>
      <c r="BJ47" s="61"/>
      <c r="BK47" s="61"/>
      <c r="BL47" s="61"/>
      <c r="BM47" s="61"/>
      <c r="BN47" s="61"/>
      <c r="BO47" s="78"/>
      <c r="BP47" s="78"/>
      <c r="BQ47" s="78"/>
      <c r="BR47" s="78"/>
      <c r="BS47" s="78"/>
      <c r="BT47" s="78"/>
      <c r="BU47" s="78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58"/>
    </row>
    <row r="48" spans="1:86" ht="20.100000000000001" customHeight="1" x14ac:dyDescent="0.4">
      <c r="B48" s="472">
        <v>3</v>
      </c>
      <c r="C48" s="452">
        <v>0.4236111111111111</v>
      </c>
      <c r="D48" s="452"/>
      <c r="E48" s="452"/>
      <c r="F48" s="443"/>
      <c r="G48" s="444"/>
      <c r="H48" s="444"/>
      <c r="I48" s="444"/>
      <c r="J48" s="445" t="str">
        <f t="shared" ref="J48" si="18">IFERROR(VLOOKUP(AR48,$C$36:$N$38,3,0),"")&amp;IFERROR(VLOOKUP(AR48,$Q$36:$AB$38,3,0),"")&amp;IFERROR(VLOOKUP(AR48,$AE$36:$AP$38,3,0),"")</f>
        <v>富士見ＳＳＳ</v>
      </c>
      <c r="K48" s="446"/>
      <c r="L48" s="446"/>
      <c r="M48" s="446"/>
      <c r="N48" s="446"/>
      <c r="O48" s="446"/>
      <c r="P48" s="446"/>
      <c r="Q48" s="450">
        <f t="shared" si="14"/>
        <v>4</v>
      </c>
      <c r="R48" s="450"/>
      <c r="S48" s="233">
        <v>3</v>
      </c>
      <c r="T48" s="234" t="s">
        <v>282</v>
      </c>
      <c r="U48" s="233">
        <v>0</v>
      </c>
      <c r="V48" s="450">
        <f t="shared" si="15"/>
        <v>0</v>
      </c>
      <c r="W48" s="450"/>
      <c r="X48" s="447" t="str">
        <f t="shared" ref="X48" si="19">IFERROR(VLOOKUP(AS48,$C$36:$N$38,3,0),"")&amp;IFERROR(VLOOKUP(AS48,$Q$36:$AB$38,3,0),"")&amp;IFERROR(VLOOKUP(AS48,$AE$36:$AP$38,3,0),"")</f>
        <v>ジュベニール</v>
      </c>
      <c r="Y48" s="448"/>
      <c r="Z48" s="448"/>
      <c r="AA48" s="448"/>
      <c r="AB48" s="448"/>
      <c r="AC48" s="448"/>
      <c r="AD48" s="448"/>
      <c r="AE48" s="443"/>
      <c r="AF48" s="444"/>
      <c r="AG48" s="444"/>
      <c r="AH48" s="444"/>
      <c r="AI48" s="450" t="str">
        <f ca="1">DBCS(INDIRECT("U12対戦スケジュール!g"&amp;(ROW()/2+19)))</f>
        <v>４／７／７／４</v>
      </c>
      <c r="AJ48" s="444"/>
      <c r="AK48" s="444"/>
      <c r="AL48" s="444"/>
      <c r="AM48" s="444"/>
      <c r="AN48" s="444"/>
      <c r="AO48" s="444"/>
      <c r="AP48" s="444"/>
      <c r="AR48" s="56">
        <v>6</v>
      </c>
      <c r="AS48" s="56">
        <v>9</v>
      </c>
      <c r="AT48" s="60"/>
      <c r="AU48" s="60"/>
      <c r="AV48" s="60"/>
      <c r="AW48" s="58"/>
      <c r="AX48" s="79"/>
      <c r="AY48" s="79"/>
      <c r="AZ48" s="79"/>
      <c r="BA48" s="61"/>
      <c r="BB48" s="78"/>
      <c r="BC48" s="78"/>
      <c r="BD48" s="78"/>
      <c r="BE48" s="78"/>
      <c r="BF48" s="78"/>
      <c r="BG48" s="78"/>
      <c r="BH48" s="61"/>
      <c r="BI48" s="61"/>
      <c r="BJ48" s="61"/>
      <c r="BK48" s="61"/>
      <c r="BL48" s="61"/>
      <c r="BM48" s="61"/>
      <c r="BN48" s="61"/>
      <c r="BO48" s="61"/>
      <c r="BP48" s="78"/>
      <c r="BQ48" s="78"/>
      <c r="BR48" s="78"/>
      <c r="BS48" s="78"/>
      <c r="BT48" s="78"/>
      <c r="BU48" s="78"/>
      <c r="BV48" s="58"/>
      <c r="BW48" s="79"/>
      <c r="BX48" s="79"/>
      <c r="BY48" s="79"/>
      <c r="BZ48" s="61"/>
      <c r="CA48" s="79"/>
      <c r="CB48" s="79"/>
      <c r="CC48" s="79"/>
      <c r="CD48" s="79"/>
      <c r="CE48" s="79"/>
      <c r="CF48" s="79"/>
      <c r="CG48" s="79"/>
      <c r="CH48" s="58"/>
    </row>
    <row r="49" spans="1:86" ht="20.100000000000001" customHeight="1" x14ac:dyDescent="0.4">
      <c r="B49" s="472"/>
      <c r="C49" s="452"/>
      <c r="D49" s="452"/>
      <c r="E49" s="452"/>
      <c r="F49" s="444"/>
      <c r="G49" s="444"/>
      <c r="H49" s="444"/>
      <c r="I49" s="444"/>
      <c r="J49" s="446"/>
      <c r="K49" s="446"/>
      <c r="L49" s="446"/>
      <c r="M49" s="446"/>
      <c r="N49" s="446"/>
      <c r="O49" s="446"/>
      <c r="P49" s="446"/>
      <c r="Q49" s="450"/>
      <c r="R49" s="450"/>
      <c r="S49" s="233">
        <v>1</v>
      </c>
      <c r="T49" s="234" t="s">
        <v>282</v>
      </c>
      <c r="U49" s="233">
        <v>0</v>
      </c>
      <c r="V49" s="450"/>
      <c r="W49" s="450"/>
      <c r="X49" s="448"/>
      <c r="Y49" s="448"/>
      <c r="Z49" s="448"/>
      <c r="AA49" s="448"/>
      <c r="AB49" s="448"/>
      <c r="AC49" s="448"/>
      <c r="AD49" s="448"/>
      <c r="AE49" s="444"/>
      <c r="AF49" s="444"/>
      <c r="AG49" s="444"/>
      <c r="AH49" s="444"/>
      <c r="AI49" s="444"/>
      <c r="AJ49" s="444"/>
      <c r="AK49" s="444"/>
      <c r="AL49" s="444"/>
      <c r="AM49" s="444"/>
      <c r="AN49" s="444"/>
      <c r="AO49" s="444"/>
      <c r="AP49" s="444"/>
      <c r="AT49" s="60"/>
      <c r="AU49" s="60"/>
      <c r="AV49" s="60"/>
      <c r="AW49" s="79"/>
      <c r="AX49" s="79"/>
      <c r="AY49" s="79"/>
      <c r="AZ49" s="79"/>
      <c r="BA49" s="78"/>
      <c r="BB49" s="78"/>
      <c r="BC49" s="78"/>
      <c r="BD49" s="78"/>
      <c r="BE49" s="78"/>
      <c r="BF49" s="78"/>
      <c r="BG49" s="78"/>
      <c r="BH49" s="61"/>
      <c r="BI49" s="61"/>
      <c r="BJ49" s="61"/>
      <c r="BK49" s="61"/>
      <c r="BL49" s="61"/>
      <c r="BM49" s="61"/>
      <c r="BN49" s="61"/>
      <c r="BO49" s="78"/>
      <c r="BP49" s="78"/>
      <c r="BQ49" s="78"/>
      <c r="BR49" s="78"/>
      <c r="BS49" s="78"/>
      <c r="BT49" s="78"/>
      <c r="BU49" s="78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58"/>
    </row>
    <row r="50" spans="1:86" ht="20.100000000000001" customHeight="1" x14ac:dyDescent="0.4">
      <c r="B50" s="472">
        <v>4</v>
      </c>
      <c r="C50" s="452">
        <v>0.45833333333333331</v>
      </c>
      <c r="D50" s="452">
        <v>0.4375</v>
      </c>
      <c r="E50" s="452"/>
      <c r="F50" s="443"/>
      <c r="G50" s="444"/>
      <c r="H50" s="444"/>
      <c r="I50" s="444"/>
      <c r="J50" s="445" t="str">
        <f t="shared" ref="J50" si="20">IFERROR(VLOOKUP(AR50,$C$36:$N$38,3,0),"")&amp;IFERROR(VLOOKUP(AR50,$Q$36:$AB$38,3,0),"")&amp;IFERROR(VLOOKUP(AR50,$AE$36:$AP$38,3,0),"")</f>
        <v>カテット白沢ＳＳ</v>
      </c>
      <c r="K50" s="446"/>
      <c r="L50" s="446"/>
      <c r="M50" s="446"/>
      <c r="N50" s="446"/>
      <c r="O50" s="446"/>
      <c r="P50" s="446"/>
      <c r="Q50" s="450">
        <f t="shared" ref="Q50:Q54" si="21">IF(OR(S50="",S51=""),"",S50+S51)</f>
        <v>0</v>
      </c>
      <c r="R50" s="450"/>
      <c r="S50" s="233">
        <v>0</v>
      </c>
      <c r="T50" s="234" t="s">
        <v>282</v>
      </c>
      <c r="U50" s="233">
        <v>0</v>
      </c>
      <c r="V50" s="450">
        <f t="shared" ref="V50:V54" si="22">IF(OR(U50="",U51=""),"",U50+U51)</f>
        <v>0</v>
      </c>
      <c r="W50" s="450"/>
      <c r="X50" s="447" t="str">
        <f t="shared" ref="X50" si="23">IFERROR(VLOOKUP(AS50,$C$36:$N$38,3,0),"")&amp;IFERROR(VLOOKUP(AS50,$Q$36:$AB$38,3,0),"")&amp;IFERROR(VLOOKUP(AS50,$AE$36:$AP$38,3,0),"")</f>
        <v>ＦＣみらいＶ</v>
      </c>
      <c r="Y50" s="448"/>
      <c r="Z50" s="448"/>
      <c r="AA50" s="448"/>
      <c r="AB50" s="448"/>
      <c r="AC50" s="448"/>
      <c r="AD50" s="448"/>
      <c r="AE50" s="443"/>
      <c r="AF50" s="444"/>
      <c r="AG50" s="444"/>
      <c r="AH50" s="444"/>
      <c r="AI50" s="450" t="str">
        <f ca="1">DBCS(INDIRECT("U12対戦スケジュール!g"&amp;(ROW()/2+19)))</f>
        <v>６／９／９／６</v>
      </c>
      <c r="AJ50" s="444"/>
      <c r="AK50" s="444"/>
      <c r="AL50" s="444"/>
      <c r="AM50" s="444"/>
      <c r="AN50" s="444"/>
      <c r="AO50" s="444"/>
      <c r="AP50" s="444"/>
      <c r="AR50" s="56">
        <v>4</v>
      </c>
      <c r="AS50" s="56">
        <v>7</v>
      </c>
      <c r="AT50" s="60"/>
      <c r="AU50" s="60"/>
      <c r="AV50" s="60"/>
      <c r="AW50" s="58"/>
      <c r="AX50" s="79"/>
      <c r="AY50" s="79"/>
      <c r="AZ50" s="79"/>
      <c r="BA50" s="61"/>
      <c r="BB50" s="78"/>
      <c r="BC50" s="78"/>
      <c r="BD50" s="78"/>
      <c r="BE50" s="78"/>
      <c r="BF50" s="78"/>
      <c r="BG50" s="78"/>
      <c r="BH50" s="61"/>
      <c r="BI50" s="61"/>
      <c r="BJ50" s="61"/>
      <c r="BK50" s="61"/>
      <c r="BL50" s="61"/>
      <c r="BM50" s="61"/>
      <c r="BN50" s="61"/>
      <c r="BO50" s="61"/>
      <c r="BP50" s="78"/>
      <c r="BQ50" s="78"/>
      <c r="BR50" s="78"/>
      <c r="BS50" s="78"/>
      <c r="BT50" s="78"/>
      <c r="BU50" s="78"/>
      <c r="BV50" s="58"/>
      <c r="BW50" s="79"/>
      <c r="BX50" s="79"/>
      <c r="BY50" s="79"/>
      <c r="BZ50" s="61"/>
      <c r="CA50" s="79"/>
      <c r="CB50" s="79"/>
      <c r="CC50" s="79"/>
      <c r="CD50" s="79"/>
      <c r="CE50" s="79"/>
      <c r="CF50" s="79"/>
      <c r="CG50" s="79"/>
      <c r="CH50" s="58"/>
    </row>
    <row r="51" spans="1:86" ht="20.100000000000001" customHeight="1" x14ac:dyDescent="0.4">
      <c r="B51" s="472"/>
      <c r="C51" s="452"/>
      <c r="D51" s="452"/>
      <c r="E51" s="452"/>
      <c r="F51" s="444"/>
      <c r="G51" s="444"/>
      <c r="H51" s="444"/>
      <c r="I51" s="444"/>
      <c r="J51" s="446"/>
      <c r="K51" s="446"/>
      <c r="L51" s="446"/>
      <c r="M51" s="446"/>
      <c r="N51" s="446"/>
      <c r="O51" s="446"/>
      <c r="P51" s="446"/>
      <c r="Q51" s="450"/>
      <c r="R51" s="450"/>
      <c r="S51" s="233">
        <v>0</v>
      </c>
      <c r="T51" s="234" t="s">
        <v>282</v>
      </c>
      <c r="U51" s="233">
        <v>0</v>
      </c>
      <c r="V51" s="450"/>
      <c r="W51" s="450"/>
      <c r="X51" s="448"/>
      <c r="Y51" s="448"/>
      <c r="Z51" s="448"/>
      <c r="AA51" s="448"/>
      <c r="AB51" s="448"/>
      <c r="AC51" s="448"/>
      <c r="AD51" s="448"/>
      <c r="AE51" s="444"/>
      <c r="AF51" s="444"/>
      <c r="AG51" s="444"/>
      <c r="AH51" s="444"/>
      <c r="AI51" s="444"/>
      <c r="AJ51" s="444"/>
      <c r="AK51" s="444"/>
      <c r="AL51" s="444"/>
      <c r="AM51" s="444"/>
      <c r="AN51" s="444"/>
      <c r="AO51" s="444"/>
      <c r="AP51" s="444"/>
      <c r="AT51" s="60"/>
      <c r="AU51" s="60"/>
      <c r="AV51" s="60"/>
      <c r="AW51" s="79"/>
      <c r="AX51" s="79"/>
      <c r="AY51" s="79"/>
      <c r="AZ51" s="79"/>
      <c r="BA51" s="78"/>
      <c r="BB51" s="78"/>
      <c r="BC51" s="78"/>
      <c r="BD51" s="78"/>
      <c r="BE51" s="78"/>
      <c r="BF51" s="78"/>
      <c r="BG51" s="78"/>
      <c r="BH51" s="61"/>
      <c r="BI51" s="61"/>
      <c r="BJ51" s="61"/>
      <c r="BK51" s="61"/>
      <c r="BL51" s="61"/>
      <c r="BM51" s="61"/>
      <c r="BN51" s="61"/>
      <c r="BO51" s="78"/>
      <c r="BP51" s="78"/>
      <c r="BQ51" s="78"/>
      <c r="BR51" s="78"/>
      <c r="BS51" s="78"/>
      <c r="BT51" s="78"/>
      <c r="BU51" s="78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58"/>
    </row>
    <row r="52" spans="1:86" ht="20.100000000000001" customHeight="1" x14ac:dyDescent="0.4">
      <c r="B52" s="472">
        <v>5</v>
      </c>
      <c r="C52" s="452">
        <v>0.49305555555555558</v>
      </c>
      <c r="D52" s="452"/>
      <c r="E52" s="452"/>
      <c r="F52" s="443"/>
      <c r="G52" s="444"/>
      <c r="H52" s="444"/>
      <c r="I52" s="444"/>
      <c r="J52" s="445" t="str">
        <f t="shared" ref="J52" si="24">IFERROR(VLOOKUP(AR52,$C$36:$N$38,3,0),"")&amp;IFERROR(VLOOKUP(AR52,$Q$36:$AB$38,3,0),"")&amp;IFERROR(VLOOKUP(AR52,$AE$36:$AP$38,3,0),"")</f>
        <v>Ｓ４スペランツァ</v>
      </c>
      <c r="K52" s="446"/>
      <c r="L52" s="446"/>
      <c r="M52" s="446"/>
      <c r="N52" s="446"/>
      <c r="O52" s="446"/>
      <c r="P52" s="446"/>
      <c r="Q52" s="450">
        <f t="shared" si="21"/>
        <v>4</v>
      </c>
      <c r="R52" s="450"/>
      <c r="S52" s="233">
        <v>2</v>
      </c>
      <c r="T52" s="234" t="s">
        <v>282</v>
      </c>
      <c r="U52" s="233">
        <v>0</v>
      </c>
      <c r="V52" s="450">
        <f t="shared" si="22"/>
        <v>0</v>
      </c>
      <c r="W52" s="450"/>
      <c r="X52" s="447" t="str">
        <f t="shared" ref="X52" si="25">IFERROR(VLOOKUP(AS52,$C$36:$N$38,3,0),"")&amp;IFERROR(VLOOKUP(AS52,$Q$36:$AB$38,3,0),"")&amp;IFERROR(VLOOKUP(AS52,$AE$36:$AP$38,3,0),"")</f>
        <v>富士見ＳＳＳ</v>
      </c>
      <c r="Y52" s="448"/>
      <c r="Z52" s="448"/>
      <c r="AA52" s="448"/>
      <c r="AB52" s="448"/>
      <c r="AC52" s="448"/>
      <c r="AD52" s="448"/>
      <c r="AE52" s="443"/>
      <c r="AF52" s="444"/>
      <c r="AG52" s="444"/>
      <c r="AH52" s="444"/>
      <c r="AI52" s="450" t="str">
        <f ca="1">DBCS(INDIRECT("U12対戦スケジュール!g"&amp;(ROW()/2+19)))</f>
        <v>１／４／４／１</v>
      </c>
      <c r="AJ52" s="444"/>
      <c r="AK52" s="444"/>
      <c r="AL52" s="444"/>
      <c r="AM52" s="444"/>
      <c r="AN52" s="444"/>
      <c r="AO52" s="444"/>
      <c r="AP52" s="444"/>
      <c r="AR52" s="56">
        <v>3</v>
      </c>
      <c r="AS52" s="56">
        <v>6</v>
      </c>
      <c r="AT52" s="60"/>
      <c r="AU52" s="60"/>
      <c r="AV52" s="60"/>
      <c r="AW52" s="58"/>
      <c r="AX52" s="79"/>
      <c r="AY52" s="79"/>
      <c r="AZ52" s="79"/>
      <c r="BA52" s="61"/>
      <c r="BB52" s="78"/>
      <c r="BC52" s="78"/>
      <c r="BD52" s="78"/>
      <c r="BE52" s="78"/>
      <c r="BF52" s="78"/>
      <c r="BG52" s="78"/>
      <c r="BH52" s="61"/>
      <c r="BI52" s="61"/>
      <c r="BJ52" s="61"/>
      <c r="BK52" s="61"/>
      <c r="BL52" s="61"/>
      <c r="BM52" s="61"/>
      <c r="BN52" s="61"/>
      <c r="BO52" s="61"/>
      <c r="BP52" s="78"/>
      <c r="BQ52" s="78"/>
      <c r="BR52" s="78"/>
      <c r="BS52" s="78"/>
      <c r="BT52" s="78"/>
      <c r="BU52" s="78"/>
      <c r="BV52" s="58"/>
      <c r="BW52" s="79"/>
      <c r="BX52" s="79"/>
      <c r="BY52" s="79"/>
      <c r="BZ52" s="61"/>
      <c r="CA52" s="79"/>
      <c r="CB52" s="79"/>
      <c r="CC52" s="79"/>
      <c r="CD52" s="79"/>
      <c r="CE52" s="79"/>
      <c r="CF52" s="79"/>
      <c r="CG52" s="79"/>
      <c r="CH52" s="58"/>
    </row>
    <row r="53" spans="1:86" ht="20.100000000000001" customHeight="1" x14ac:dyDescent="0.4">
      <c r="B53" s="472"/>
      <c r="C53" s="452"/>
      <c r="D53" s="452"/>
      <c r="E53" s="452"/>
      <c r="F53" s="444"/>
      <c r="G53" s="444"/>
      <c r="H53" s="444"/>
      <c r="I53" s="444"/>
      <c r="J53" s="446"/>
      <c r="K53" s="446"/>
      <c r="L53" s="446"/>
      <c r="M53" s="446"/>
      <c r="N53" s="446"/>
      <c r="O53" s="446"/>
      <c r="P53" s="446"/>
      <c r="Q53" s="450"/>
      <c r="R53" s="450"/>
      <c r="S53" s="233">
        <v>2</v>
      </c>
      <c r="T53" s="234" t="s">
        <v>282</v>
      </c>
      <c r="U53" s="233">
        <v>0</v>
      </c>
      <c r="V53" s="450"/>
      <c r="W53" s="450"/>
      <c r="X53" s="448"/>
      <c r="Y53" s="448"/>
      <c r="Z53" s="448"/>
      <c r="AA53" s="448"/>
      <c r="AB53" s="448"/>
      <c r="AC53" s="448"/>
      <c r="AD53" s="448"/>
      <c r="AE53" s="444"/>
      <c r="AF53" s="444"/>
      <c r="AG53" s="444"/>
      <c r="AH53" s="444"/>
      <c r="AI53" s="444"/>
      <c r="AJ53" s="444"/>
      <c r="AK53" s="444"/>
      <c r="AL53" s="444"/>
      <c r="AM53" s="444"/>
      <c r="AN53" s="444"/>
      <c r="AO53" s="444"/>
      <c r="AP53" s="444"/>
      <c r="AT53" s="60"/>
      <c r="AU53" s="60"/>
      <c r="AV53" s="60"/>
      <c r="AW53" s="79"/>
      <c r="AX53" s="79"/>
      <c r="AY53" s="79"/>
      <c r="AZ53" s="79"/>
      <c r="BA53" s="78"/>
      <c r="BB53" s="78"/>
      <c r="BC53" s="78"/>
      <c r="BD53" s="78"/>
      <c r="BE53" s="78"/>
      <c r="BF53" s="78"/>
      <c r="BG53" s="78"/>
      <c r="BH53" s="61"/>
      <c r="BI53" s="61"/>
      <c r="BJ53" s="61"/>
      <c r="BK53" s="61"/>
      <c r="BL53" s="61"/>
      <c r="BM53" s="61"/>
      <c r="BN53" s="61"/>
      <c r="BO53" s="78"/>
      <c r="BP53" s="78"/>
      <c r="BQ53" s="78"/>
      <c r="BR53" s="78"/>
      <c r="BS53" s="78"/>
      <c r="BT53" s="78"/>
      <c r="BU53" s="78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58"/>
    </row>
    <row r="54" spans="1:86" ht="20.100000000000001" customHeight="1" x14ac:dyDescent="0.4">
      <c r="B54" s="472">
        <v>6</v>
      </c>
      <c r="C54" s="452">
        <v>0.52777777777777779</v>
      </c>
      <c r="D54" s="452">
        <v>0.4375</v>
      </c>
      <c r="E54" s="452"/>
      <c r="F54" s="443"/>
      <c r="G54" s="444"/>
      <c r="H54" s="444"/>
      <c r="I54" s="444"/>
      <c r="J54" s="445" t="str">
        <f t="shared" ref="J54" si="26">IFERROR(VLOOKUP(AR54,$C$36:$N$38,3,0),"")&amp;IFERROR(VLOOKUP(AR54,$Q$36:$AB$38,3,0),"")&amp;IFERROR(VLOOKUP(AR54,$AE$36:$AP$38,3,0),"")</f>
        <v>本郷北ＦＣ</v>
      </c>
      <c r="K54" s="446"/>
      <c r="L54" s="446"/>
      <c r="M54" s="446"/>
      <c r="N54" s="446"/>
      <c r="O54" s="446"/>
      <c r="P54" s="446"/>
      <c r="Q54" s="450">
        <f t="shared" si="21"/>
        <v>1</v>
      </c>
      <c r="R54" s="450"/>
      <c r="S54" s="233">
        <v>0</v>
      </c>
      <c r="T54" s="234" t="s">
        <v>282</v>
      </c>
      <c r="U54" s="233">
        <v>0</v>
      </c>
      <c r="V54" s="450">
        <f t="shared" si="22"/>
        <v>0</v>
      </c>
      <c r="W54" s="450"/>
      <c r="X54" s="447" t="str">
        <f t="shared" ref="X54" si="27">IFERROR(VLOOKUP(AS54,$C$36:$N$38,3,0),"")&amp;IFERROR(VLOOKUP(AS54,$Q$36:$AB$38,3,0),"")&amp;IFERROR(VLOOKUP(AS54,$AE$36:$AP$38,3,0),"")</f>
        <v>カテット白沢ＳＳ</v>
      </c>
      <c r="Y54" s="448"/>
      <c r="Z54" s="448"/>
      <c r="AA54" s="448"/>
      <c r="AB54" s="448"/>
      <c r="AC54" s="448"/>
      <c r="AD54" s="448"/>
      <c r="AE54" s="443"/>
      <c r="AF54" s="444"/>
      <c r="AG54" s="444"/>
      <c r="AH54" s="444"/>
      <c r="AI54" s="450" t="str">
        <f ca="1">DBCS(INDIRECT("U12対戦スケジュール!g"&amp;(ROW()/2+19)))</f>
        <v>３／６／６／３</v>
      </c>
      <c r="AJ54" s="444"/>
      <c r="AK54" s="444"/>
      <c r="AL54" s="444"/>
      <c r="AM54" s="444"/>
      <c r="AN54" s="444"/>
      <c r="AO54" s="444"/>
      <c r="AP54" s="444"/>
      <c r="AR54" s="56">
        <v>1</v>
      </c>
      <c r="AS54" s="56">
        <v>4</v>
      </c>
      <c r="AT54" s="60"/>
      <c r="AU54" s="60"/>
      <c r="AV54" s="60"/>
      <c r="AW54" s="58"/>
      <c r="AX54" s="79"/>
      <c r="AY54" s="79"/>
      <c r="AZ54" s="79"/>
      <c r="BA54" s="61"/>
      <c r="BB54" s="78"/>
      <c r="BC54" s="78"/>
      <c r="BD54" s="78"/>
      <c r="BE54" s="78"/>
      <c r="BF54" s="78"/>
      <c r="BG54" s="78"/>
      <c r="BH54" s="61"/>
      <c r="BI54" s="61"/>
      <c r="BJ54" s="61"/>
      <c r="BK54" s="61"/>
      <c r="BL54" s="61"/>
      <c r="BM54" s="61"/>
      <c r="BN54" s="61"/>
      <c r="BO54" s="61"/>
      <c r="BP54" s="78"/>
      <c r="BQ54" s="78"/>
      <c r="BR54" s="78"/>
      <c r="BS54" s="78"/>
      <c r="BT54" s="78"/>
      <c r="BU54" s="78"/>
      <c r="BV54" s="58"/>
      <c r="BW54" s="79"/>
      <c r="BX54" s="79"/>
      <c r="BY54" s="79"/>
      <c r="BZ54" s="61"/>
      <c r="CA54" s="79"/>
      <c r="CB54" s="79"/>
      <c r="CC54" s="79"/>
      <c r="CD54" s="79"/>
      <c r="CE54" s="79"/>
      <c r="CF54" s="79"/>
      <c r="CG54" s="79"/>
      <c r="CH54" s="58"/>
    </row>
    <row r="55" spans="1:86" ht="20.100000000000001" customHeight="1" x14ac:dyDescent="0.4">
      <c r="B55" s="472"/>
      <c r="C55" s="452"/>
      <c r="D55" s="452"/>
      <c r="E55" s="452"/>
      <c r="F55" s="444"/>
      <c r="G55" s="444"/>
      <c r="H55" s="444"/>
      <c r="I55" s="444"/>
      <c r="J55" s="446"/>
      <c r="K55" s="446"/>
      <c r="L55" s="446"/>
      <c r="M55" s="446"/>
      <c r="N55" s="446"/>
      <c r="O55" s="446"/>
      <c r="P55" s="446"/>
      <c r="Q55" s="450"/>
      <c r="R55" s="450"/>
      <c r="S55" s="233">
        <v>1</v>
      </c>
      <c r="T55" s="234" t="s">
        <v>282</v>
      </c>
      <c r="U55" s="233">
        <v>0</v>
      </c>
      <c r="V55" s="450"/>
      <c r="W55" s="450"/>
      <c r="X55" s="448"/>
      <c r="Y55" s="448"/>
      <c r="Z55" s="448"/>
      <c r="AA55" s="448"/>
      <c r="AB55" s="448"/>
      <c r="AC55" s="448"/>
      <c r="AD55" s="448"/>
      <c r="AE55" s="444"/>
      <c r="AF55" s="444"/>
      <c r="AG55" s="444"/>
      <c r="AH55" s="444"/>
      <c r="AI55" s="444"/>
      <c r="AJ55" s="444"/>
      <c r="AK55" s="444"/>
      <c r="AL55" s="444"/>
      <c r="AM55" s="444"/>
      <c r="AN55" s="444"/>
      <c r="AO55" s="444"/>
      <c r="AP55" s="444"/>
      <c r="AR55" s="58"/>
      <c r="AS55" s="59"/>
      <c r="AT55" s="60"/>
      <c r="AU55" s="60"/>
      <c r="AV55" s="60"/>
      <c r="AW55" s="79"/>
      <c r="AX55" s="79"/>
      <c r="AY55" s="79"/>
      <c r="AZ55" s="79"/>
      <c r="BA55" s="78"/>
      <c r="BB55" s="78"/>
      <c r="BC55" s="78"/>
      <c r="BD55" s="78"/>
      <c r="BE55" s="78"/>
      <c r="BF55" s="78"/>
      <c r="BG55" s="78"/>
      <c r="BH55" s="61"/>
      <c r="BI55" s="61"/>
      <c r="BJ55" s="61"/>
      <c r="BK55" s="61"/>
      <c r="BL55" s="61"/>
      <c r="BM55" s="61"/>
      <c r="BN55" s="61"/>
      <c r="BO55" s="78"/>
      <c r="BP55" s="78"/>
      <c r="BQ55" s="78"/>
      <c r="BR55" s="78"/>
      <c r="BS55" s="78"/>
      <c r="BT55" s="78"/>
      <c r="BU55" s="78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58"/>
    </row>
    <row r="56" spans="1:86" ht="20.100000000000001" hidden="1" customHeight="1" x14ac:dyDescent="0.4">
      <c r="B56" s="606">
        <v>7</v>
      </c>
      <c r="C56" s="586">
        <v>0.58333333333333304</v>
      </c>
      <c r="D56" s="587">
        <v>0.4375</v>
      </c>
      <c r="E56" s="588"/>
      <c r="F56" s="592"/>
      <c r="G56" s="593"/>
      <c r="H56" s="593"/>
      <c r="I56" s="594"/>
      <c r="J56" s="554" t="str">
        <f>IFERROR(VLOOKUP(AR56,$C$36:$N$38,3,0),"")&amp;IFERROR(VLOOKUP(AR56,$Q$36:$AB$38,3,0),"")&amp;IFERROR(VLOOKUP(AR56,$AE$36:$AP$38,3,0),"")</f>
        <v/>
      </c>
      <c r="K56" s="598"/>
      <c r="L56" s="598"/>
      <c r="M56" s="598"/>
      <c r="N56" s="598"/>
      <c r="O56" s="598"/>
      <c r="P56" s="599"/>
      <c r="Q56" s="563" t="str">
        <f>IF(OR(S56="",S57=""),"",S56+S57)</f>
        <v/>
      </c>
      <c r="R56" s="564"/>
      <c r="S56" s="228"/>
      <c r="T56" s="229" t="s">
        <v>30</v>
      </c>
      <c r="U56" s="228"/>
      <c r="V56" s="563" t="str">
        <f>IF(OR(U56="",U57=""),"",U56+U57)</f>
        <v/>
      </c>
      <c r="W56" s="564"/>
      <c r="X56" s="559" t="str">
        <f>IFERROR(VLOOKUP(AS56,$C$36:$N$38,3,0),"")&amp;IFERROR(VLOOKUP(AS56,$Q$36:$AB$38,3,0),"")&amp;IFERROR(VLOOKUP(AS56,$AE$36:$AP$38,3,0),"")</f>
        <v/>
      </c>
      <c r="Y56" s="598"/>
      <c r="Z56" s="598"/>
      <c r="AA56" s="598"/>
      <c r="AB56" s="598"/>
      <c r="AC56" s="598"/>
      <c r="AD56" s="602"/>
      <c r="AE56" s="592"/>
      <c r="AF56" s="593"/>
      <c r="AG56" s="593"/>
      <c r="AH56" s="594"/>
      <c r="AI56" s="567" t="str">
        <f ca="1">DBCS(INDIRECT("U12対戦スケジュール!g"&amp;(ROW()/2+19)))</f>
        <v/>
      </c>
      <c r="AJ56" s="581"/>
      <c r="AK56" s="581"/>
      <c r="AL56" s="581"/>
      <c r="AM56" s="581"/>
      <c r="AN56" s="581"/>
      <c r="AO56" s="581"/>
      <c r="AP56" s="582"/>
      <c r="AT56" s="60"/>
      <c r="AU56" s="60"/>
      <c r="AV56" s="60"/>
      <c r="AW56" s="58"/>
      <c r="AX56" s="79"/>
      <c r="AY56" s="79"/>
      <c r="AZ56" s="79"/>
      <c r="BA56" s="61"/>
      <c r="BB56" s="78"/>
      <c r="BC56" s="139"/>
      <c r="BD56" s="139"/>
      <c r="BE56" s="139"/>
      <c r="BF56" s="139"/>
      <c r="BG56" s="139"/>
      <c r="BH56" s="59"/>
      <c r="BI56" s="59"/>
      <c r="BJ56" s="61"/>
      <c r="BK56" s="61"/>
      <c r="BL56" s="61"/>
      <c r="BM56" s="61"/>
      <c r="BN56" s="61"/>
      <c r="BO56" s="61"/>
      <c r="BP56" s="78"/>
      <c r="BQ56" s="139"/>
      <c r="BR56" s="139"/>
      <c r="BS56" s="139"/>
      <c r="BT56" s="139"/>
      <c r="BU56" s="139"/>
      <c r="BV56" s="140"/>
      <c r="BW56" s="141"/>
      <c r="BX56" s="79"/>
      <c r="BY56" s="79"/>
      <c r="BZ56" s="61"/>
      <c r="CA56" s="79"/>
      <c r="CB56" s="79"/>
      <c r="CC56" s="79"/>
      <c r="CD56" s="79"/>
      <c r="CE56" s="79"/>
      <c r="CF56" s="79"/>
      <c r="CG56" s="79"/>
      <c r="CH56" s="58"/>
    </row>
    <row r="57" spans="1:86" ht="20.100000000000001" hidden="1" customHeight="1" thickBot="1" x14ac:dyDescent="0.45">
      <c r="B57" s="607"/>
      <c r="C57" s="589"/>
      <c r="D57" s="590"/>
      <c r="E57" s="591"/>
      <c r="F57" s="595"/>
      <c r="G57" s="596"/>
      <c r="H57" s="596"/>
      <c r="I57" s="597"/>
      <c r="J57" s="600"/>
      <c r="K57" s="600"/>
      <c r="L57" s="600"/>
      <c r="M57" s="600"/>
      <c r="N57" s="600"/>
      <c r="O57" s="600"/>
      <c r="P57" s="601"/>
      <c r="Q57" s="565"/>
      <c r="R57" s="566"/>
      <c r="S57" s="67"/>
      <c r="T57" s="131" t="s">
        <v>30</v>
      </c>
      <c r="U57" s="67"/>
      <c r="V57" s="565"/>
      <c r="W57" s="566"/>
      <c r="X57" s="603"/>
      <c r="Y57" s="600"/>
      <c r="Z57" s="600"/>
      <c r="AA57" s="600"/>
      <c r="AB57" s="600"/>
      <c r="AC57" s="600"/>
      <c r="AD57" s="604"/>
      <c r="AE57" s="595"/>
      <c r="AF57" s="596"/>
      <c r="AG57" s="596"/>
      <c r="AH57" s="597"/>
      <c r="AI57" s="583"/>
      <c r="AJ57" s="584"/>
      <c r="AK57" s="584"/>
      <c r="AL57" s="584"/>
      <c r="AM57" s="584"/>
      <c r="AN57" s="584"/>
      <c r="AO57" s="584"/>
      <c r="AP57" s="585"/>
      <c r="AR57" s="58"/>
      <c r="AS57" s="59"/>
      <c r="AT57" s="60"/>
      <c r="AU57" s="60"/>
      <c r="AV57" s="60"/>
      <c r="AW57" s="79"/>
      <c r="AX57" s="79"/>
      <c r="AY57" s="79"/>
      <c r="AZ57" s="79"/>
      <c r="BA57" s="78"/>
      <c r="BB57" s="78"/>
      <c r="BC57" s="139"/>
      <c r="BD57" s="139"/>
      <c r="BE57" s="139"/>
      <c r="BF57" s="139"/>
      <c r="BG57" s="139"/>
      <c r="BH57" s="59"/>
      <c r="BI57" s="59"/>
      <c r="BJ57" s="61"/>
      <c r="BK57" s="61"/>
      <c r="BL57" s="61"/>
      <c r="BM57" s="61"/>
      <c r="BN57" s="61"/>
      <c r="BO57" s="78"/>
      <c r="BP57" s="78"/>
      <c r="BQ57" s="139"/>
      <c r="BR57" s="139"/>
      <c r="BS57" s="139"/>
      <c r="BT57" s="139"/>
      <c r="BU57" s="139"/>
      <c r="BV57" s="141"/>
      <c r="BW57" s="141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58"/>
    </row>
    <row r="58" spans="1:86" s="55" customFormat="1" ht="15.75" customHeight="1" x14ac:dyDescent="0.4">
      <c r="A58" s="58"/>
      <c r="B58" s="59"/>
      <c r="C58" s="60"/>
      <c r="D58" s="60"/>
      <c r="E58" s="60"/>
      <c r="F58" s="59"/>
      <c r="G58" s="59"/>
      <c r="H58" s="59"/>
      <c r="I58" s="59"/>
      <c r="J58" s="59"/>
      <c r="K58" s="61"/>
      <c r="L58" s="61"/>
      <c r="M58" s="62"/>
      <c r="N58" s="63"/>
      <c r="O58" s="62"/>
      <c r="P58" s="61"/>
      <c r="Q58" s="61"/>
      <c r="R58" s="59"/>
      <c r="S58" s="59"/>
      <c r="T58" s="59"/>
      <c r="U58" s="59"/>
      <c r="V58" s="59"/>
      <c r="W58" s="66"/>
      <c r="X58" s="66"/>
      <c r="Y58" s="66"/>
      <c r="Z58" s="66"/>
      <c r="AA58" s="66"/>
      <c r="AB58" s="66"/>
      <c r="AC58" s="58"/>
      <c r="AR58" s="58"/>
      <c r="AS58" s="59"/>
      <c r="AT58" s="60"/>
      <c r="AU58" s="60"/>
      <c r="AV58" s="60"/>
      <c r="AW58" s="59"/>
      <c r="AX58" s="59"/>
      <c r="AY58" s="59"/>
      <c r="AZ58" s="59"/>
      <c r="BA58" s="59"/>
      <c r="BB58" s="61"/>
      <c r="BC58" s="61"/>
      <c r="BD58" s="62"/>
      <c r="BE58" s="63"/>
      <c r="BF58" s="62"/>
      <c r="BG58" s="61"/>
      <c r="BH58" s="61"/>
      <c r="BI58" s="59"/>
      <c r="BJ58" s="59"/>
      <c r="BK58" s="59"/>
      <c r="BL58" s="59"/>
      <c r="BM58" s="59"/>
      <c r="BN58" s="66"/>
      <c r="BO58" s="66"/>
      <c r="BP58" s="66"/>
      <c r="BQ58" s="66"/>
      <c r="BR58" s="66"/>
      <c r="BS58" s="66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</row>
    <row r="59" spans="1:86" ht="20.25" customHeight="1" x14ac:dyDescent="0.4">
      <c r="D59" s="477" t="s">
        <v>31</v>
      </c>
      <c r="E59" s="477"/>
      <c r="F59" s="477"/>
      <c r="G59" s="477"/>
      <c r="H59" s="477"/>
      <c r="I59" s="477"/>
      <c r="J59" s="477" t="s">
        <v>27</v>
      </c>
      <c r="K59" s="477"/>
      <c r="L59" s="477"/>
      <c r="M59" s="477"/>
      <c r="N59" s="477"/>
      <c r="O59" s="477"/>
      <c r="P59" s="477"/>
      <c r="Q59" s="477"/>
      <c r="R59" s="478" t="s">
        <v>32</v>
      </c>
      <c r="S59" s="478"/>
      <c r="T59" s="478"/>
      <c r="U59" s="478"/>
      <c r="V59" s="478"/>
      <c r="W59" s="478"/>
      <c r="X59" s="478"/>
      <c r="Y59" s="478"/>
      <c r="Z59" s="478"/>
      <c r="AA59" s="479" t="s">
        <v>33</v>
      </c>
      <c r="AB59" s="479"/>
      <c r="AC59" s="479"/>
      <c r="AD59" s="479" t="s">
        <v>34</v>
      </c>
      <c r="AE59" s="479"/>
      <c r="AF59" s="479"/>
      <c r="AG59" s="479"/>
      <c r="AH59" s="479"/>
      <c r="AI59" s="479"/>
      <c r="AJ59" s="479"/>
      <c r="AK59" s="479"/>
      <c r="AL59" s="479"/>
      <c r="AM59" s="479"/>
      <c r="AR59" s="58"/>
      <c r="AS59" s="58"/>
      <c r="AT59" s="58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61"/>
      <c r="BJ59" s="61"/>
      <c r="BK59" s="61"/>
      <c r="BL59" s="61"/>
      <c r="BM59" s="61"/>
      <c r="BN59" s="61"/>
      <c r="BO59" s="61"/>
      <c r="BP59" s="61"/>
      <c r="BQ59" s="61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58"/>
      <c r="CF59" s="58"/>
      <c r="CG59" s="58"/>
      <c r="CH59" s="58"/>
    </row>
    <row r="60" spans="1:86" ht="30" customHeight="1" x14ac:dyDescent="0.4">
      <c r="D60" s="477" t="s">
        <v>35</v>
      </c>
      <c r="E60" s="477"/>
      <c r="F60" s="477"/>
      <c r="G60" s="477"/>
      <c r="H60" s="477"/>
      <c r="I60" s="477"/>
      <c r="J60" s="477"/>
      <c r="K60" s="477"/>
      <c r="L60" s="477"/>
      <c r="M60" s="477"/>
      <c r="N60" s="477"/>
      <c r="O60" s="477"/>
      <c r="P60" s="477"/>
      <c r="Q60" s="477"/>
      <c r="R60" s="478"/>
      <c r="S60" s="478"/>
      <c r="T60" s="478"/>
      <c r="U60" s="478"/>
      <c r="V60" s="478"/>
      <c r="W60" s="478"/>
      <c r="X60" s="478"/>
      <c r="Y60" s="478"/>
      <c r="Z60" s="478"/>
      <c r="AA60" s="481"/>
      <c r="AB60" s="481"/>
      <c r="AC60" s="481"/>
      <c r="AD60" s="480"/>
      <c r="AE60" s="480"/>
      <c r="AF60" s="480"/>
      <c r="AG60" s="480"/>
      <c r="AH60" s="480"/>
      <c r="AI60" s="480"/>
      <c r="AJ60" s="480"/>
      <c r="AK60" s="480"/>
      <c r="AL60" s="480"/>
      <c r="AM60" s="480"/>
      <c r="AR60" s="58"/>
      <c r="AS60" s="58"/>
      <c r="AT60" s="58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61"/>
      <c r="BJ60" s="61"/>
      <c r="BK60" s="61"/>
      <c r="BL60" s="61"/>
      <c r="BM60" s="61"/>
      <c r="BN60" s="61"/>
      <c r="BO60" s="61"/>
      <c r="BP60" s="61"/>
      <c r="BQ60" s="61"/>
      <c r="BR60" s="81"/>
      <c r="BS60" s="81"/>
      <c r="BT60" s="81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58"/>
      <c r="CF60" s="58"/>
      <c r="CG60" s="58"/>
      <c r="CH60" s="58"/>
    </row>
    <row r="61" spans="1:86" ht="30" customHeight="1" x14ac:dyDescent="0.4">
      <c r="D61" s="477" t="s">
        <v>35</v>
      </c>
      <c r="E61" s="477"/>
      <c r="F61" s="477"/>
      <c r="G61" s="477"/>
      <c r="H61" s="477"/>
      <c r="I61" s="477"/>
      <c r="J61" s="477"/>
      <c r="K61" s="477"/>
      <c r="L61" s="477"/>
      <c r="M61" s="477"/>
      <c r="N61" s="477"/>
      <c r="O61" s="477"/>
      <c r="P61" s="477"/>
      <c r="Q61" s="477"/>
      <c r="R61" s="478"/>
      <c r="S61" s="478"/>
      <c r="T61" s="478"/>
      <c r="U61" s="478"/>
      <c r="V61" s="478"/>
      <c r="W61" s="478"/>
      <c r="X61" s="478"/>
      <c r="Y61" s="478"/>
      <c r="Z61" s="478"/>
      <c r="AA61" s="479"/>
      <c r="AB61" s="479"/>
      <c r="AC61" s="479"/>
      <c r="AD61" s="480"/>
      <c r="AE61" s="480"/>
      <c r="AF61" s="480"/>
      <c r="AG61" s="480"/>
      <c r="AH61" s="480"/>
      <c r="AI61" s="480"/>
      <c r="AJ61" s="480"/>
      <c r="AK61" s="480"/>
      <c r="AL61" s="480"/>
      <c r="AM61" s="480"/>
      <c r="AR61" s="58"/>
      <c r="AS61" s="58"/>
      <c r="AT61" s="58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61"/>
      <c r="BJ61" s="61"/>
      <c r="BK61" s="61"/>
      <c r="BL61" s="61"/>
      <c r="BM61" s="61"/>
      <c r="BN61" s="61"/>
      <c r="BO61" s="61"/>
      <c r="BP61" s="61"/>
      <c r="BQ61" s="61"/>
      <c r="BR61" s="63"/>
      <c r="BS61" s="63"/>
      <c r="BT61" s="6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58"/>
      <c r="CF61" s="58"/>
      <c r="CG61" s="58"/>
      <c r="CH61" s="58"/>
    </row>
    <row r="62" spans="1:86" ht="30" customHeight="1" x14ac:dyDescent="0.4">
      <c r="D62" s="477" t="s">
        <v>35</v>
      </c>
      <c r="E62" s="477"/>
      <c r="F62" s="477"/>
      <c r="G62" s="477"/>
      <c r="H62" s="477"/>
      <c r="I62" s="477"/>
      <c r="J62" s="477"/>
      <c r="K62" s="477"/>
      <c r="L62" s="477"/>
      <c r="M62" s="477"/>
      <c r="N62" s="477"/>
      <c r="O62" s="477"/>
      <c r="P62" s="477"/>
      <c r="Q62" s="477"/>
      <c r="R62" s="478"/>
      <c r="S62" s="478"/>
      <c r="T62" s="478"/>
      <c r="U62" s="478"/>
      <c r="V62" s="478"/>
      <c r="W62" s="478"/>
      <c r="X62" s="478"/>
      <c r="Y62" s="478"/>
      <c r="Z62" s="478"/>
      <c r="AA62" s="479"/>
      <c r="AB62" s="479"/>
      <c r="AC62" s="479"/>
      <c r="AD62" s="480"/>
      <c r="AE62" s="480"/>
      <c r="AF62" s="480"/>
      <c r="AG62" s="480"/>
      <c r="AH62" s="480"/>
      <c r="AI62" s="480"/>
      <c r="AJ62" s="480"/>
      <c r="AK62" s="480"/>
      <c r="AL62" s="480"/>
      <c r="AM62" s="480"/>
      <c r="AR62" s="58"/>
      <c r="AS62" s="58"/>
      <c r="AT62" s="58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61"/>
      <c r="BJ62" s="61"/>
      <c r="BK62" s="61"/>
      <c r="BL62" s="61"/>
      <c r="BM62" s="61"/>
      <c r="BN62" s="61"/>
      <c r="BO62" s="61"/>
      <c r="BP62" s="61"/>
      <c r="BQ62" s="61"/>
      <c r="BR62" s="63"/>
      <c r="BS62" s="63"/>
      <c r="BT62" s="6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58"/>
      <c r="CF62" s="58"/>
      <c r="CG62" s="58"/>
      <c r="CH62" s="58"/>
    </row>
    <row r="63" spans="1:86" ht="14.25" customHeight="1" x14ac:dyDescent="0.4">
      <c r="A63" s="451" t="s">
        <v>562</v>
      </c>
      <c r="B63" s="451"/>
      <c r="C63" s="451"/>
      <c r="D63" s="451"/>
      <c r="E63" s="451"/>
      <c r="F63" s="451"/>
      <c r="G63" s="451"/>
      <c r="H63" s="451"/>
      <c r="I63" s="451"/>
      <c r="J63" s="451"/>
      <c r="K63" s="451"/>
      <c r="L63" s="451"/>
      <c r="M63" s="451"/>
      <c r="N63" s="451"/>
      <c r="O63" s="451"/>
      <c r="P63" s="451"/>
      <c r="Q63" s="451"/>
      <c r="R63" s="451"/>
      <c r="S63" s="451"/>
      <c r="T63" s="451"/>
      <c r="U63" s="451"/>
      <c r="V63" s="451"/>
      <c r="W63" s="451"/>
      <c r="X63" s="451"/>
      <c r="Y63" s="451"/>
      <c r="Z63" s="451"/>
      <c r="AA63" s="451"/>
      <c r="AB63" s="451"/>
      <c r="AC63" s="451"/>
      <c r="AD63" s="451"/>
      <c r="AE63" s="451"/>
      <c r="AF63" s="451"/>
      <c r="AG63" s="451"/>
      <c r="AH63" s="451"/>
      <c r="AI63" s="451"/>
      <c r="AJ63" s="451"/>
      <c r="AK63" s="451"/>
      <c r="AL63" s="451"/>
      <c r="AM63" s="451"/>
      <c r="AN63" s="451"/>
      <c r="AO63" s="451"/>
      <c r="AP63" s="451"/>
      <c r="AQ63" s="451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</row>
    <row r="64" spans="1:86" ht="14.25" customHeight="1" x14ac:dyDescent="0.4">
      <c r="A64" s="451"/>
      <c r="B64" s="451"/>
      <c r="C64" s="451"/>
      <c r="D64" s="451"/>
      <c r="E64" s="451"/>
      <c r="F64" s="451"/>
      <c r="G64" s="451"/>
      <c r="H64" s="451"/>
      <c r="I64" s="451"/>
      <c r="J64" s="451"/>
      <c r="K64" s="451"/>
      <c r="L64" s="451"/>
      <c r="M64" s="451"/>
      <c r="N64" s="451"/>
      <c r="O64" s="451"/>
      <c r="P64" s="451"/>
      <c r="Q64" s="451"/>
      <c r="R64" s="451"/>
      <c r="S64" s="451"/>
      <c r="T64" s="451"/>
      <c r="U64" s="451"/>
      <c r="V64" s="451"/>
      <c r="W64" s="451"/>
      <c r="X64" s="451"/>
      <c r="Y64" s="451"/>
      <c r="Z64" s="451"/>
      <c r="AA64" s="451"/>
      <c r="AB64" s="451"/>
      <c r="AC64" s="451"/>
      <c r="AD64" s="451"/>
      <c r="AE64" s="451"/>
      <c r="AF64" s="451"/>
      <c r="AG64" s="451"/>
      <c r="AH64" s="451"/>
      <c r="AI64" s="451"/>
      <c r="AJ64" s="451"/>
      <c r="AK64" s="451"/>
      <c r="AL64" s="451"/>
      <c r="AM64" s="451"/>
      <c r="AN64" s="451"/>
      <c r="AO64" s="451"/>
      <c r="AP64" s="451"/>
      <c r="AQ64" s="451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</row>
    <row r="65" spans="2:86" ht="27.75" customHeight="1" x14ac:dyDescent="0.4">
      <c r="C65" s="460" t="s">
        <v>8</v>
      </c>
      <c r="D65" s="460"/>
      <c r="E65" s="460"/>
      <c r="F65" s="460"/>
      <c r="G65" s="482" t="str">
        <f>U12対戦スケジュール!F64</f>
        <v>石井緑地 No.５</v>
      </c>
      <c r="H65" s="483"/>
      <c r="I65" s="483"/>
      <c r="J65" s="483"/>
      <c r="K65" s="483"/>
      <c r="L65" s="483"/>
      <c r="M65" s="483"/>
      <c r="N65" s="483"/>
      <c r="O65" s="483"/>
      <c r="P65" s="460" t="s">
        <v>0</v>
      </c>
      <c r="Q65" s="460"/>
      <c r="R65" s="460"/>
      <c r="S65" s="460"/>
      <c r="T65" s="482" t="str">
        <f>U12対戦スケジュール!F65</f>
        <v>雀宮ＦＣ</v>
      </c>
      <c r="U65" s="483"/>
      <c r="V65" s="483"/>
      <c r="W65" s="483"/>
      <c r="X65" s="483"/>
      <c r="Y65" s="483"/>
      <c r="Z65" s="483"/>
      <c r="AA65" s="483"/>
      <c r="AB65" s="483"/>
      <c r="AC65" s="460" t="s">
        <v>9</v>
      </c>
      <c r="AD65" s="460"/>
      <c r="AE65" s="460"/>
      <c r="AF65" s="460"/>
      <c r="AG65" s="484">
        <f>U12組合せ!$B36</f>
        <v>43750</v>
      </c>
      <c r="AH65" s="485"/>
      <c r="AI65" s="485"/>
      <c r="AJ65" s="485"/>
      <c r="AK65" s="485"/>
      <c r="AL65" s="485"/>
      <c r="AM65" s="486" t="str">
        <f>"（"&amp;TEXT(AG65,"aaa")&amp;"）"</f>
        <v>（土）</v>
      </c>
      <c r="AN65" s="486"/>
      <c r="AO65" s="487"/>
      <c r="AR65" s="58"/>
      <c r="AS65" s="58"/>
      <c r="AT65" s="70"/>
      <c r="AU65" s="70"/>
      <c r="AV65" s="70"/>
      <c r="AW65" s="70"/>
      <c r="AX65" s="80"/>
      <c r="AY65" s="80"/>
      <c r="AZ65" s="80"/>
      <c r="BA65" s="80"/>
      <c r="BB65" s="80"/>
      <c r="BC65" s="80"/>
      <c r="BD65" s="80"/>
      <c r="BE65" s="80"/>
      <c r="BF65" s="80"/>
      <c r="BG65" s="70"/>
      <c r="BH65" s="70"/>
      <c r="BI65" s="70"/>
      <c r="BJ65" s="70"/>
      <c r="BK65" s="80"/>
      <c r="BL65" s="80"/>
      <c r="BM65" s="80"/>
      <c r="BN65" s="80"/>
      <c r="BO65" s="80"/>
      <c r="BP65" s="80"/>
      <c r="BQ65" s="80"/>
      <c r="BR65" s="80"/>
      <c r="BS65" s="80"/>
      <c r="BT65" s="70"/>
      <c r="BU65" s="70"/>
      <c r="BV65" s="70"/>
      <c r="BW65" s="70"/>
      <c r="BX65" s="82"/>
      <c r="BY65" s="82"/>
      <c r="BZ65" s="82"/>
      <c r="CA65" s="82"/>
      <c r="CB65" s="82"/>
      <c r="CC65" s="82"/>
      <c r="CD65" s="82"/>
      <c r="CE65" s="82"/>
      <c r="CF65" s="82"/>
      <c r="CG65" s="58"/>
      <c r="CH65" s="58"/>
    </row>
    <row r="66" spans="2:86" ht="15" customHeight="1" x14ac:dyDescent="0.4"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64"/>
      <c r="X66" s="64"/>
      <c r="Y66" s="64"/>
      <c r="Z66" s="64"/>
      <c r="AA66" s="64"/>
      <c r="AB66" s="64"/>
      <c r="AC66" s="64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68"/>
      <c r="BO66" s="68"/>
      <c r="BP66" s="68"/>
      <c r="BQ66" s="68"/>
      <c r="BR66" s="68"/>
      <c r="BS66" s="68"/>
      <c r="BT66" s="6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</row>
    <row r="67" spans="2:86" ht="18" customHeight="1" x14ac:dyDescent="0.4">
      <c r="C67" s="475">
        <v>1</v>
      </c>
      <c r="D67" s="475"/>
      <c r="E67" s="511" t="str">
        <f>U12組合せ!J14</f>
        <v>本郷北ＦＣ</v>
      </c>
      <c r="F67" s="513"/>
      <c r="G67" s="513"/>
      <c r="H67" s="513"/>
      <c r="I67" s="513"/>
      <c r="J67" s="513"/>
      <c r="K67" s="513"/>
      <c r="L67" s="513"/>
      <c r="M67" s="513"/>
      <c r="N67" s="513"/>
      <c r="O67" s="58"/>
      <c r="P67" s="58"/>
      <c r="Q67" s="475">
        <v>2</v>
      </c>
      <c r="R67" s="475"/>
      <c r="S67" s="511" t="str">
        <f>U12組合せ!J15</f>
        <v>みはらＳＣjr</v>
      </c>
      <c r="T67" s="513"/>
      <c r="U67" s="513"/>
      <c r="V67" s="513"/>
      <c r="W67" s="513"/>
      <c r="X67" s="513"/>
      <c r="Y67" s="513"/>
      <c r="Z67" s="513"/>
      <c r="AA67" s="513"/>
      <c r="AB67" s="513"/>
      <c r="AC67" s="68"/>
      <c r="AD67" s="55"/>
      <c r="AE67" s="475">
        <v>3</v>
      </c>
      <c r="AF67" s="475"/>
      <c r="AG67" s="511" t="str">
        <f>U12組合せ!J16</f>
        <v>Ｓ４スペランツァ</v>
      </c>
      <c r="AH67" s="513"/>
      <c r="AI67" s="513"/>
      <c r="AJ67" s="513"/>
      <c r="AK67" s="513"/>
      <c r="AL67" s="513"/>
      <c r="AM67" s="513"/>
      <c r="AN67" s="513"/>
      <c r="AO67" s="513"/>
      <c r="AP67" s="513"/>
      <c r="AR67" s="58"/>
      <c r="AS67" s="58"/>
      <c r="AT67" s="71"/>
      <c r="AU67" s="71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58"/>
      <c r="BG67" s="58"/>
      <c r="BH67" s="71"/>
      <c r="BI67" s="71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68"/>
      <c r="BU67" s="58"/>
      <c r="BV67" s="71"/>
      <c r="BW67" s="71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58"/>
    </row>
    <row r="68" spans="2:86" ht="18" customHeight="1" x14ac:dyDescent="0.4">
      <c r="C68" s="475">
        <v>4</v>
      </c>
      <c r="D68" s="475"/>
      <c r="E68" s="511" t="str">
        <f>U12組合せ!J17</f>
        <v>カテット白沢ＳＳ</v>
      </c>
      <c r="F68" s="513"/>
      <c r="G68" s="513"/>
      <c r="H68" s="513"/>
      <c r="I68" s="513"/>
      <c r="J68" s="513"/>
      <c r="K68" s="513"/>
      <c r="L68" s="513"/>
      <c r="M68" s="513"/>
      <c r="N68" s="513"/>
      <c r="O68" s="58"/>
      <c r="P68" s="58"/>
      <c r="Q68" s="475">
        <v>5</v>
      </c>
      <c r="R68" s="475"/>
      <c r="S68" s="511" t="str">
        <f>U12組合せ!J18</f>
        <v>雀宮ＦＣ</v>
      </c>
      <c r="T68" s="513"/>
      <c r="U68" s="513"/>
      <c r="V68" s="513"/>
      <c r="W68" s="513"/>
      <c r="X68" s="513"/>
      <c r="Y68" s="513"/>
      <c r="Z68" s="513"/>
      <c r="AA68" s="513"/>
      <c r="AB68" s="513"/>
      <c r="AC68" s="68"/>
      <c r="AD68" s="55"/>
      <c r="AE68" s="475">
        <v>6</v>
      </c>
      <c r="AF68" s="475"/>
      <c r="AG68" s="511" t="str">
        <f>U12組合せ!J19</f>
        <v>富士見ＳＳＳ</v>
      </c>
      <c r="AH68" s="513"/>
      <c r="AI68" s="513"/>
      <c r="AJ68" s="513"/>
      <c r="AK68" s="513"/>
      <c r="AL68" s="513"/>
      <c r="AM68" s="513"/>
      <c r="AN68" s="513"/>
      <c r="AO68" s="513"/>
      <c r="AP68" s="513"/>
      <c r="AR68" s="58"/>
      <c r="AS68" s="58"/>
      <c r="AT68" s="71"/>
      <c r="AU68" s="71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58"/>
      <c r="BG68" s="58"/>
      <c r="BH68" s="71"/>
      <c r="BI68" s="71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68"/>
      <c r="BU68" s="58"/>
      <c r="BV68" s="71"/>
      <c r="BW68" s="71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58"/>
    </row>
    <row r="69" spans="2:86" ht="18" customHeight="1" x14ac:dyDescent="0.4">
      <c r="C69" s="475">
        <v>7</v>
      </c>
      <c r="D69" s="475"/>
      <c r="E69" s="511" t="str">
        <f>U12組合せ!J20</f>
        <v>ＦＣみらいＶ</v>
      </c>
      <c r="F69" s="513"/>
      <c r="G69" s="513"/>
      <c r="H69" s="513"/>
      <c r="I69" s="513"/>
      <c r="J69" s="513"/>
      <c r="K69" s="513"/>
      <c r="L69" s="513"/>
      <c r="M69" s="513"/>
      <c r="N69" s="513"/>
      <c r="O69" s="58"/>
      <c r="P69" s="58"/>
      <c r="Q69" s="475">
        <v>8</v>
      </c>
      <c r="R69" s="475"/>
      <c r="S69" s="511" t="str">
        <f>U12組合せ!J21</f>
        <v>上河内ＪＳＣ</v>
      </c>
      <c r="T69" s="513"/>
      <c r="U69" s="513"/>
      <c r="V69" s="513"/>
      <c r="W69" s="513"/>
      <c r="X69" s="513"/>
      <c r="Y69" s="513"/>
      <c r="Z69" s="513"/>
      <c r="AA69" s="513"/>
      <c r="AB69" s="513"/>
      <c r="AC69" s="68"/>
      <c r="AD69" s="55"/>
      <c r="AE69" s="475">
        <v>9</v>
      </c>
      <c r="AF69" s="475"/>
      <c r="AG69" s="511" t="str">
        <f>U12組合せ!J22</f>
        <v>ジュベニール</v>
      </c>
      <c r="AH69" s="513"/>
      <c r="AI69" s="513"/>
      <c r="AJ69" s="513"/>
      <c r="AK69" s="513"/>
      <c r="AL69" s="513"/>
      <c r="AM69" s="513"/>
      <c r="AN69" s="513"/>
      <c r="AO69" s="513"/>
      <c r="AP69" s="513"/>
      <c r="AR69" s="58"/>
      <c r="AS69" s="58"/>
      <c r="AT69" s="71"/>
      <c r="AU69" s="71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58"/>
      <c r="BG69" s="58"/>
      <c r="BH69" s="71"/>
      <c r="BI69" s="71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68"/>
      <c r="BU69" s="58"/>
      <c r="BV69" s="71"/>
      <c r="BW69" s="71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58"/>
    </row>
    <row r="70" spans="2:86" ht="18" customHeight="1" x14ac:dyDescent="0.4">
      <c r="C70" s="475"/>
      <c r="D70" s="475"/>
      <c r="E70" s="476"/>
      <c r="F70" s="476"/>
      <c r="G70" s="476"/>
      <c r="H70" s="476"/>
      <c r="I70" s="476"/>
      <c r="J70" s="476"/>
      <c r="K70" s="476"/>
      <c r="L70" s="476"/>
      <c r="M70" s="476"/>
      <c r="N70" s="476"/>
      <c r="O70" s="58"/>
      <c r="P70" s="58"/>
      <c r="Q70" s="475"/>
      <c r="R70" s="475"/>
      <c r="S70" s="476"/>
      <c r="T70" s="476"/>
      <c r="U70" s="476"/>
      <c r="V70" s="476"/>
      <c r="W70" s="476"/>
      <c r="X70" s="476"/>
      <c r="Y70" s="476"/>
      <c r="Z70" s="476"/>
      <c r="AA70" s="476"/>
      <c r="AB70" s="476"/>
      <c r="AC70" s="68"/>
      <c r="AD70" s="55"/>
      <c r="AE70" s="475"/>
      <c r="AF70" s="475"/>
      <c r="AG70" s="476"/>
      <c r="AH70" s="476"/>
      <c r="AI70" s="476"/>
      <c r="AJ70" s="476"/>
      <c r="AK70" s="476"/>
      <c r="AL70" s="476"/>
      <c r="AM70" s="476"/>
      <c r="AN70" s="476"/>
      <c r="AO70" s="476"/>
      <c r="AP70" s="476"/>
      <c r="AR70" s="58"/>
      <c r="AS70" s="58"/>
      <c r="AT70" s="71"/>
      <c r="AU70" s="71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58"/>
      <c r="BG70" s="58"/>
      <c r="BH70" s="71"/>
      <c r="BI70" s="71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68"/>
      <c r="BU70" s="58"/>
      <c r="BV70" s="71"/>
      <c r="BW70" s="71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58"/>
    </row>
    <row r="71" spans="2:86" ht="18" customHeight="1" x14ac:dyDescent="0.4">
      <c r="B71" s="57"/>
      <c r="C71" s="475"/>
      <c r="D71" s="475"/>
      <c r="E71" s="476"/>
      <c r="F71" s="476"/>
      <c r="G71" s="476"/>
      <c r="H71" s="476"/>
      <c r="I71" s="476"/>
      <c r="J71" s="476"/>
      <c r="K71" s="476"/>
      <c r="L71" s="476"/>
      <c r="M71" s="476"/>
      <c r="N71" s="476"/>
      <c r="O71" s="58"/>
      <c r="P71" s="58"/>
      <c r="Q71" s="475"/>
      <c r="R71" s="475"/>
      <c r="S71" s="476"/>
      <c r="T71" s="476"/>
      <c r="U71" s="476"/>
      <c r="V71" s="476"/>
      <c r="W71" s="476"/>
      <c r="X71" s="476"/>
      <c r="Y71" s="476"/>
      <c r="Z71" s="476"/>
      <c r="AA71" s="476"/>
      <c r="AB71" s="476"/>
      <c r="AC71" s="68"/>
      <c r="AD71" s="55"/>
      <c r="AE71" s="475"/>
      <c r="AF71" s="475"/>
      <c r="AG71" s="476"/>
      <c r="AH71" s="476"/>
      <c r="AI71" s="476"/>
      <c r="AJ71" s="476"/>
      <c r="AK71" s="476"/>
      <c r="AL71" s="476"/>
      <c r="AM71" s="476"/>
      <c r="AN71" s="476"/>
      <c r="AO71" s="476"/>
      <c r="AP71" s="476"/>
      <c r="AQ71" s="57"/>
      <c r="AR71" s="58"/>
      <c r="AS71" s="58"/>
      <c r="AT71" s="71"/>
      <c r="AU71" s="71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58"/>
      <c r="BG71" s="58"/>
      <c r="BH71" s="71"/>
      <c r="BI71" s="71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68"/>
      <c r="BU71" s="58"/>
      <c r="BV71" s="71"/>
      <c r="BW71" s="71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58"/>
    </row>
    <row r="72" spans="2:86" ht="18" customHeight="1" x14ac:dyDescent="0.4">
      <c r="C72" s="524"/>
      <c r="D72" s="524"/>
      <c r="E72" s="546"/>
      <c r="F72" s="546"/>
      <c r="G72" s="546"/>
      <c r="H72" s="546"/>
      <c r="I72" s="546"/>
      <c r="J72" s="546"/>
      <c r="K72" s="546"/>
      <c r="L72" s="546"/>
      <c r="M72" s="546"/>
      <c r="N72" s="546"/>
      <c r="O72" s="58"/>
      <c r="P72" s="58"/>
      <c r="Q72" s="524"/>
      <c r="R72" s="524"/>
      <c r="S72" s="546"/>
      <c r="T72" s="546"/>
      <c r="U72" s="546"/>
      <c r="V72" s="546"/>
      <c r="W72" s="546"/>
      <c r="X72" s="546"/>
      <c r="Y72" s="546"/>
      <c r="Z72" s="546"/>
      <c r="AA72" s="546"/>
      <c r="AB72" s="546"/>
      <c r="AC72" s="68"/>
      <c r="AD72" s="58"/>
      <c r="AE72" s="524"/>
      <c r="AF72" s="524"/>
      <c r="AG72" s="546"/>
      <c r="AH72" s="546"/>
      <c r="AI72" s="546"/>
      <c r="AJ72" s="546"/>
      <c r="AK72" s="546"/>
      <c r="AL72" s="546"/>
      <c r="AM72" s="546"/>
      <c r="AN72" s="546"/>
      <c r="AO72" s="546"/>
      <c r="AP72" s="546"/>
      <c r="AR72" s="58"/>
      <c r="AS72" s="58"/>
      <c r="AT72" s="71"/>
      <c r="AU72" s="71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58"/>
      <c r="BG72" s="58"/>
      <c r="BH72" s="71"/>
      <c r="BI72" s="71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68"/>
      <c r="BU72" s="58"/>
      <c r="BV72" s="71"/>
      <c r="BW72" s="71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58"/>
    </row>
    <row r="73" spans="2:86" ht="21" customHeight="1" x14ac:dyDescent="0.4">
      <c r="B73" s="56" t="s">
        <v>569</v>
      </c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</row>
    <row r="74" spans="2:86" ht="20.25" customHeight="1" x14ac:dyDescent="0.4">
      <c r="B74" s="219"/>
      <c r="C74" s="456" t="s">
        <v>25</v>
      </c>
      <c r="D74" s="456"/>
      <c r="E74" s="456"/>
      <c r="F74" s="458" t="s">
        <v>26</v>
      </c>
      <c r="G74" s="459"/>
      <c r="H74" s="459"/>
      <c r="I74" s="459"/>
      <c r="J74" s="456" t="s">
        <v>27</v>
      </c>
      <c r="K74" s="457"/>
      <c r="L74" s="457"/>
      <c r="M74" s="457"/>
      <c r="N74" s="457"/>
      <c r="O74" s="457"/>
      <c r="P74" s="457"/>
      <c r="Q74" s="456" t="s">
        <v>540</v>
      </c>
      <c r="R74" s="456"/>
      <c r="S74" s="456"/>
      <c r="T74" s="456"/>
      <c r="U74" s="456"/>
      <c r="V74" s="456"/>
      <c r="W74" s="456"/>
      <c r="X74" s="456" t="s">
        <v>27</v>
      </c>
      <c r="Y74" s="457"/>
      <c r="Z74" s="457"/>
      <c r="AA74" s="457"/>
      <c r="AB74" s="457"/>
      <c r="AC74" s="457"/>
      <c r="AD74" s="457"/>
      <c r="AE74" s="458" t="s">
        <v>26</v>
      </c>
      <c r="AF74" s="459"/>
      <c r="AG74" s="459"/>
      <c r="AH74" s="459"/>
      <c r="AI74" s="456" t="s">
        <v>29</v>
      </c>
      <c r="AJ74" s="456"/>
      <c r="AK74" s="457"/>
      <c r="AL74" s="457"/>
      <c r="AM74" s="457"/>
      <c r="AN74" s="457"/>
      <c r="AO74" s="457"/>
      <c r="AP74" s="457"/>
      <c r="AR74" s="58"/>
      <c r="AS74" s="73"/>
      <c r="AT74" s="74"/>
      <c r="AU74" s="74"/>
      <c r="AV74" s="74"/>
      <c r="AW74" s="76"/>
      <c r="AX74" s="77"/>
      <c r="AY74" s="77"/>
      <c r="AZ74" s="77"/>
      <c r="BA74" s="74"/>
      <c r="BB74" s="78"/>
      <c r="BC74" s="78"/>
      <c r="BD74" s="78"/>
      <c r="BE74" s="78"/>
      <c r="BF74" s="78"/>
      <c r="BG74" s="78"/>
      <c r="BH74" s="74"/>
      <c r="BI74" s="74"/>
      <c r="BJ74" s="74"/>
      <c r="BK74" s="74"/>
      <c r="BL74" s="74"/>
      <c r="BM74" s="74"/>
      <c r="BN74" s="74"/>
      <c r="BO74" s="74"/>
      <c r="BP74" s="78"/>
      <c r="BQ74" s="78"/>
      <c r="BR74" s="78"/>
      <c r="BS74" s="78"/>
      <c r="BT74" s="78"/>
      <c r="BU74" s="78"/>
      <c r="BV74" s="76"/>
      <c r="BW74" s="77"/>
      <c r="BX74" s="77"/>
      <c r="BY74" s="77"/>
      <c r="BZ74" s="74"/>
      <c r="CA74" s="74"/>
      <c r="CB74" s="78"/>
      <c r="CC74" s="78"/>
      <c r="CD74" s="78"/>
      <c r="CE74" s="78"/>
      <c r="CF74" s="78"/>
      <c r="CG74" s="78"/>
      <c r="CH74" s="58"/>
    </row>
    <row r="75" spans="2:86" ht="20.100000000000001" customHeight="1" x14ac:dyDescent="0.4">
      <c r="B75" s="472">
        <v>1</v>
      </c>
      <c r="C75" s="449">
        <v>0.375</v>
      </c>
      <c r="D75" s="449"/>
      <c r="E75" s="449"/>
      <c r="F75" s="443"/>
      <c r="G75" s="444"/>
      <c r="H75" s="444"/>
      <c r="I75" s="444"/>
      <c r="J75" s="445" t="str">
        <f>IFERROR(VLOOKUP(AR75,$C$67:$N$69,3,0),"")&amp;IFERROR(VLOOKUP(AR75,$Q$67:$AB$69,3,0),"")&amp;IFERROR(VLOOKUP(AR75,$AE$67:$AP$69,3,0),"")</f>
        <v>富士見ＳＳＳ</v>
      </c>
      <c r="K75" s="446"/>
      <c r="L75" s="446"/>
      <c r="M75" s="446"/>
      <c r="N75" s="446"/>
      <c r="O75" s="446"/>
      <c r="P75" s="446"/>
      <c r="Q75" s="450" t="str">
        <f t="shared" ref="Q75:Q79" si="28">IF(OR(S75="",S76=""),"",S75+S76)</f>
        <v/>
      </c>
      <c r="R75" s="450"/>
      <c r="S75" s="220"/>
      <c r="T75" s="221" t="s">
        <v>30</v>
      </c>
      <c r="U75" s="220"/>
      <c r="V75" s="450" t="str">
        <f t="shared" ref="V75:V79" si="29">IF(OR(U75="",U76=""),"",U75+U76)</f>
        <v/>
      </c>
      <c r="W75" s="450"/>
      <c r="X75" s="447" t="str">
        <f>IFERROR(VLOOKUP(AS75,$C$67:$N$69,3,0),"")&amp;IFERROR(VLOOKUP(AS75,$Q$67:$AB$69,3,0),"")&amp;IFERROR(VLOOKUP(AS75,$AE$67:$AP$69,3,0),"")</f>
        <v>ＦＣみらいＶ</v>
      </c>
      <c r="Y75" s="448"/>
      <c r="Z75" s="448"/>
      <c r="AA75" s="448"/>
      <c r="AB75" s="448"/>
      <c r="AC75" s="448"/>
      <c r="AD75" s="448"/>
      <c r="AE75" s="443"/>
      <c r="AF75" s="444"/>
      <c r="AG75" s="444"/>
      <c r="AH75" s="444"/>
      <c r="AI75" s="450" t="str">
        <f ca="1">DBCS(INDIRECT("U12対戦スケジュール!g"&amp;((ROW()-1)/2+29)))</f>
        <v>５／９／９／５</v>
      </c>
      <c r="AJ75" s="444"/>
      <c r="AK75" s="444"/>
      <c r="AL75" s="444"/>
      <c r="AM75" s="444"/>
      <c r="AN75" s="444"/>
      <c r="AO75" s="444"/>
      <c r="AP75" s="444"/>
      <c r="AR75" s="56">
        <v>6</v>
      </c>
      <c r="AS75" s="56">
        <v>7</v>
      </c>
      <c r="AT75" s="60"/>
      <c r="AU75" s="60"/>
      <c r="AV75" s="60"/>
      <c r="AW75" s="58"/>
      <c r="AX75" s="79"/>
      <c r="AY75" s="79"/>
      <c r="AZ75" s="79"/>
      <c r="BA75" s="61"/>
      <c r="BB75" s="78"/>
      <c r="BC75" s="78"/>
      <c r="BD75" s="78"/>
      <c r="BE75" s="78"/>
      <c r="BF75" s="78"/>
      <c r="BG75" s="78"/>
      <c r="BH75" s="61"/>
      <c r="BI75" s="61"/>
      <c r="BJ75" s="61"/>
      <c r="BK75" s="61"/>
      <c r="BL75" s="61"/>
      <c r="BM75" s="61"/>
      <c r="BN75" s="61"/>
      <c r="BO75" s="61"/>
      <c r="BP75" s="78"/>
      <c r="BQ75" s="78"/>
      <c r="BR75" s="78"/>
      <c r="BS75" s="78"/>
      <c r="BT75" s="78"/>
      <c r="BU75" s="78"/>
      <c r="BV75" s="58"/>
      <c r="BW75" s="79"/>
      <c r="BX75" s="79"/>
      <c r="BY75" s="79"/>
      <c r="BZ75" s="61"/>
      <c r="CA75" s="79"/>
      <c r="CB75" s="79"/>
      <c r="CC75" s="79"/>
      <c r="CD75" s="79"/>
      <c r="CE75" s="79"/>
      <c r="CF75" s="79"/>
      <c r="CG75" s="79"/>
      <c r="CH75" s="58"/>
    </row>
    <row r="76" spans="2:86" ht="20.100000000000001" customHeight="1" x14ac:dyDescent="0.4">
      <c r="B76" s="472"/>
      <c r="C76" s="449"/>
      <c r="D76" s="449"/>
      <c r="E76" s="449"/>
      <c r="F76" s="444"/>
      <c r="G76" s="444"/>
      <c r="H76" s="444"/>
      <c r="I76" s="444"/>
      <c r="J76" s="446"/>
      <c r="K76" s="446"/>
      <c r="L76" s="446"/>
      <c r="M76" s="446"/>
      <c r="N76" s="446"/>
      <c r="O76" s="446"/>
      <c r="P76" s="446"/>
      <c r="Q76" s="450"/>
      <c r="R76" s="450"/>
      <c r="S76" s="220"/>
      <c r="T76" s="221" t="s">
        <v>30</v>
      </c>
      <c r="U76" s="220"/>
      <c r="V76" s="450"/>
      <c r="W76" s="450"/>
      <c r="X76" s="448"/>
      <c r="Y76" s="448"/>
      <c r="Z76" s="448"/>
      <c r="AA76" s="448"/>
      <c r="AB76" s="448"/>
      <c r="AC76" s="448"/>
      <c r="AD76" s="448"/>
      <c r="AE76" s="444"/>
      <c r="AF76" s="444"/>
      <c r="AG76" s="444"/>
      <c r="AH76" s="444"/>
      <c r="AI76" s="444"/>
      <c r="AJ76" s="444"/>
      <c r="AK76" s="444"/>
      <c r="AL76" s="444"/>
      <c r="AM76" s="444"/>
      <c r="AN76" s="444"/>
      <c r="AO76" s="444"/>
      <c r="AP76" s="444"/>
      <c r="AT76" s="60"/>
      <c r="AU76" s="60"/>
      <c r="AV76" s="60"/>
      <c r="AW76" s="79"/>
      <c r="AX76" s="79"/>
      <c r="AY76" s="79"/>
      <c r="AZ76" s="79"/>
      <c r="BA76" s="78"/>
      <c r="BB76" s="78"/>
      <c r="BC76" s="78"/>
      <c r="BD76" s="78"/>
      <c r="BE76" s="78"/>
      <c r="BF76" s="78"/>
      <c r="BG76" s="78"/>
      <c r="BH76" s="61"/>
      <c r="BI76" s="61"/>
      <c r="BJ76" s="61"/>
      <c r="BK76" s="61"/>
      <c r="BL76" s="61"/>
      <c r="BM76" s="61"/>
      <c r="BN76" s="61"/>
      <c r="BO76" s="78"/>
      <c r="BP76" s="78"/>
      <c r="BQ76" s="78"/>
      <c r="BR76" s="78"/>
      <c r="BS76" s="78"/>
      <c r="BT76" s="78"/>
      <c r="BU76" s="78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58"/>
    </row>
    <row r="77" spans="2:86" ht="20.100000000000001" customHeight="1" x14ac:dyDescent="0.4">
      <c r="B77" s="472">
        <v>2</v>
      </c>
      <c r="C77" s="449">
        <v>0.40277777777777773</v>
      </c>
      <c r="D77" s="449">
        <v>0.4375</v>
      </c>
      <c r="E77" s="449"/>
      <c r="F77" s="443"/>
      <c r="G77" s="444"/>
      <c r="H77" s="444"/>
      <c r="I77" s="444"/>
      <c r="J77" s="445" t="str">
        <f t="shared" ref="J77" si="30">IFERROR(VLOOKUP(AR77,$C$67:$N$69,3,0),"")&amp;IFERROR(VLOOKUP(AR77,$Q$67:$AB$69,3,0),"")&amp;IFERROR(VLOOKUP(AR77,$AE$67:$AP$69,3,0),"")</f>
        <v>雀宮ＦＣ</v>
      </c>
      <c r="K77" s="446"/>
      <c r="L77" s="446"/>
      <c r="M77" s="446"/>
      <c r="N77" s="446"/>
      <c r="O77" s="446"/>
      <c r="P77" s="446"/>
      <c r="Q77" s="450" t="str">
        <f t="shared" si="28"/>
        <v/>
      </c>
      <c r="R77" s="450"/>
      <c r="S77" s="220"/>
      <c r="T77" s="221" t="s">
        <v>30</v>
      </c>
      <c r="U77" s="220"/>
      <c r="V77" s="450" t="str">
        <f t="shared" si="29"/>
        <v/>
      </c>
      <c r="W77" s="450"/>
      <c r="X77" s="447" t="str">
        <f t="shared" ref="X77" si="31">IFERROR(VLOOKUP(AS77,$C$67:$N$69,3,0),"")&amp;IFERROR(VLOOKUP(AS77,$Q$67:$AB$69,3,0),"")&amp;IFERROR(VLOOKUP(AS77,$AE$67:$AP$69,3,0),"")</f>
        <v>ジュベニール</v>
      </c>
      <c r="Y77" s="448"/>
      <c r="Z77" s="448"/>
      <c r="AA77" s="448"/>
      <c r="AB77" s="448"/>
      <c r="AC77" s="448"/>
      <c r="AD77" s="448"/>
      <c r="AE77" s="443"/>
      <c r="AF77" s="444"/>
      <c r="AG77" s="444"/>
      <c r="AH77" s="444"/>
      <c r="AI77" s="450" t="str">
        <f t="shared" ref="AI77" ca="1" si="32">DBCS(INDIRECT("U12対戦スケジュール!g"&amp;((ROW()-1)/2+29)))</f>
        <v>６／７／７／６</v>
      </c>
      <c r="AJ77" s="444"/>
      <c r="AK77" s="444"/>
      <c r="AL77" s="444"/>
      <c r="AM77" s="444"/>
      <c r="AN77" s="444"/>
      <c r="AO77" s="444"/>
      <c r="AP77" s="444"/>
      <c r="AR77" s="56">
        <v>5</v>
      </c>
      <c r="AS77" s="56">
        <v>9</v>
      </c>
      <c r="AT77" s="60"/>
      <c r="AU77" s="60"/>
      <c r="AV77" s="60"/>
      <c r="AW77" s="58"/>
      <c r="AX77" s="79"/>
      <c r="AY77" s="79"/>
      <c r="AZ77" s="79"/>
      <c r="BA77" s="61"/>
      <c r="BB77" s="78"/>
      <c r="BC77" s="78"/>
      <c r="BD77" s="78"/>
      <c r="BE77" s="78"/>
      <c r="BF77" s="78"/>
      <c r="BG77" s="78"/>
      <c r="BH77" s="61"/>
      <c r="BI77" s="61"/>
      <c r="BJ77" s="61"/>
      <c r="BK77" s="61"/>
      <c r="BL77" s="61"/>
      <c r="BM77" s="61"/>
      <c r="BN77" s="61"/>
      <c r="BO77" s="61"/>
      <c r="BP77" s="78"/>
      <c r="BQ77" s="78"/>
      <c r="BR77" s="78"/>
      <c r="BS77" s="78"/>
      <c r="BT77" s="78"/>
      <c r="BU77" s="78"/>
      <c r="BV77" s="58"/>
      <c r="BW77" s="79"/>
      <c r="BX77" s="79"/>
      <c r="BY77" s="79"/>
      <c r="BZ77" s="61"/>
      <c r="CA77" s="79"/>
      <c r="CB77" s="79"/>
      <c r="CC77" s="79"/>
      <c r="CD77" s="79"/>
      <c r="CE77" s="79"/>
      <c r="CF77" s="79"/>
      <c r="CG77" s="79"/>
      <c r="CH77" s="58"/>
    </row>
    <row r="78" spans="2:86" ht="20.100000000000001" customHeight="1" x14ac:dyDescent="0.4">
      <c r="B78" s="472"/>
      <c r="C78" s="449"/>
      <c r="D78" s="449"/>
      <c r="E78" s="449"/>
      <c r="F78" s="444"/>
      <c r="G78" s="444"/>
      <c r="H78" s="444"/>
      <c r="I78" s="444"/>
      <c r="J78" s="446"/>
      <c r="K78" s="446"/>
      <c r="L78" s="446"/>
      <c r="M78" s="446"/>
      <c r="N78" s="446"/>
      <c r="O78" s="446"/>
      <c r="P78" s="446"/>
      <c r="Q78" s="450"/>
      <c r="R78" s="450"/>
      <c r="S78" s="220"/>
      <c r="T78" s="221" t="s">
        <v>30</v>
      </c>
      <c r="U78" s="220"/>
      <c r="V78" s="450"/>
      <c r="W78" s="450"/>
      <c r="X78" s="448"/>
      <c r="Y78" s="448"/>
      <c r="Z78" s="448"/>
      <c r="AA78" s="448"/>
      <c r="AB78" s="448"/>
      <c r="AC78" s="448"/>
      <c r="AD78" s="448"/>
      <c r="AE78" s="444"/>
      <c r="AF78" s="444"/>
      <c r="AG78" s="444"/>
      <c r="AH78" s="444"/>
      <c r="AI78" s="444"/>
      <c r="AJ78" s="444"/>
      <c r="AK78" s="444"/>
      <c r="AL78" s="444"/>
      <c r="AM78" s="444"/>
      <c r="AN78" s="444"/>
      <c r="AO78" s="444"/>
      <c r="AP78" s="444"/>
      <c r="AT78" s="60"/>
      <c r="AU78" s="60"/>
      <c r="AV78" s="60"/>
      <c r="AW78" s="79"/>
      <c r="AX78" s="79"/>
      <c r="AY78" s="79"/>
      <c r="AZ78" s="79"/>
      <c r="BA78" s="78"/>
      <c r="BB78" s="78"/>
      <c r="BC78" s="78"/>
      <c r="BD78" s="78"/>
      <c r="BE78" s="78"/>
      <c r="BF78" s="78"/>
      <c r="BG78" s="78"/>
      <c r="BH78" s="61"/>
      <c r="BI78" s="61"/>
      <c r="BJ78" s="61"/>
      <c r="BK78" s="61"/>
      <c r="BL78" s="61"/>
      <c r="BM78" s="61"/>
      <c r="BN78" s="61"/>
      <c r="BO78" s="78"/>
      <c r="BP78" s="78"/>
      <c r="BQ78" s="78"/>
      <c r="BR78" s="78"/>
      <c r="BS78" s="78"/>
      <c r="BT78" s="78"/>
      <c r="BU78" s="78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58"/>
    </row>
    <row r="79" spans="2:86" ht="20.100000000000001" customHeight="1" x14ac:dyDescent="0.4">
      <c r="B79" s="472">
        <v>3</v>
      </c>
      <c r="C79" s="449">
        <v>0.43055555555555558</v>
      </c>
      <c r="D79" s="449"/>
      <c r="E79" s="449"/>
      <c r="F79" s="443"/>
      <c r="G79" s="444"/>
      <c r="H79" s="444"/>
      <c r="I79" s="444"/>
      <c r="J79" s="445" t="str">
        <f t="shared" ref="J79" si="33">IFERROR(VLOOKUP(AR79,$C$67:$N$69,3,0),"")&amp;IFERROR(VLOOKUP(AR79,$Q$67:$AB$69,3,0),"")&amp;IFERROR(VLOOKUP(AR79,$AE$67:$AP$69,3,0),"")</f>
        <v>みはらＳＣjr</v>
      </c>
      <c r="K79" s="446"/>
      <c r="L79" s="446"/>
      <c r="M79" s="446"/>
      <c r="N79" s="446"/>
      <c r="O79" s="446"/>
      <c r="P79" s="446"/>
      <c r="Q79" s="450" t="str">
        <f t="shared" si="28"/>
        <v/>
      </c>
      <c r="R79" s="450"/>
      <c r="S79" s="220"/>
      <c r="T79" s="221" t="s">
        <v>30</v>
      </c>
      <c r="U79" s="220"/>
      <c r="V79" s="450" t="str">
        <f t="shared" si="29"/>
        <v/>
      </c>
      <c r="W79" s="450"/>
      <c r="X79" s="447" t="str">
        <f t="shared" ref="X79" si="34">IFERROR(VLOOKUP(AS79,$C$67:$N$69,3,0),"")&amp;IFERROR(VLOOKUP(AS79,$Q$67:$AB$69,3,0),"")&amp;IFERROR(VLOOKUP(AS79,$AE$67:$AP$69,3,0),"")</f>
        <v>富士見ＳＳＳ</v>
      </c>
      <c r="Y79" s="448"/>
      <c r="Z79" s="448"/>
      <c r="AA79" s="448"/>
      <c r="AB79" s="448"/>
      <c r="AC79" s="448"/>
      <c r="AD79" s="448"/>
      <c r="AE79" s="443"/>
      <c r="AF79" s="444"/>
      <c r="AG79" s="444"/>
      <c r="AH79" s="444"/>
      <c r="AI79" s="450" t="str">
        <f t="shared" ref="AI79" ca="1" si="35">DBCS(INDIRECT("U12対戦スケジュール!g"&amp;((ROW()-1)/2+29)))</f>
        <v>１／５／５／１</v>
      </c>
      <c r="AJ79" s="444"/>
      <c r="AK79" s="444"/>
      <c r="AL79" s="444"/>
      <c r="AM79" s="444"/>
      <c r="AN79" s="444"/>
      <c r="AO79" s="444"/>
      <c r="AP79" s="444"/>
      <c r="AR79" s="56">
        <v>2</v>
      </c>
      <c r="AS79" s="56">
        <v>6</v>
      </c>
      <c r="AT79" s="60"/>
      <c r="AU79" s="60"/>
      <c r="AV79" s="60"/>
      <c r="AW79" s="58"/>
      <c r="AX79" s="79"/>
      <c r="AY79" s="79"/>
      <c r="AZ79" s="79"/>
      <c r="BA79" s="61"/>
      <c r="BB79" s="78"/>
      <c r="BC79" s="78"/>
      <c r="BD79" s="78"/>
      <c r="BE79" s="78"/>
      <c r="BF79" s="78"/>
      <c r="BG79" s="78"/>
      <c r="BH79" s="61"/>
      <c r="BI79" s="61"/>
      <c r="BJ79" s="61"/>
      <c r="BK79" s="61"/>
      <c r="BL79" s="61"/>
      <c r="BM79" s="61"/>
      <c r="BN79" s="61"/>
      <c r="BO79" s="61"/>
      <c r="BP79" s="78"/>
      <c r="BQ79" s="78"/>
      <c r="BR79" s="78"/>
      <c r="BS79" s="78"/>
      <c r="BT79" s="78"/>
      <c r="BU79" s="78"/>
      <c r="BV79" s="58"/>
      <c r="BW79" s="79"/>
      <c r="BX79" s="79"/>
      <c r="BY79" s="79"/>
      <c r="BZ79" s="61"/>
      <c r="CA79" s="79"/>
      <c r="CB79" s="79"/>
      <c r="CC79" s="79"/>
      <c r="CD79" s="79"/>
      <c r="CE79" s="79"/>
      <c r="CF79" s="79"/>
      <c r="CG79" s="79"/>
      <c r="CH79" s="58"/>
    </row>
    <row r="80" spans="2:86" ht="20.100000000000001" customHeight="1" x14ac:dyDescent="0.4">
      <c r="B80" s="472"/>
      <c r="C80" s="449"/>
      <c r="D80" s="449"/>
      <c r="E80" s="449"/>
      <c r="F80" s="444"/>
      <c r="G80" s="444"/>
      <c r="H80" s="444"/>
      <c r="I80" s="444"/>
      <c r="J80" s="446"/>
      <c r="K80" s="446"/>
      <c r="L80" s="446"/>
      <c r="M80" s="446"/>
      <c r="N80" s="446"/>
      <c r="O80" s="446"/>
      <c r="P80" s="446"/>
      <c r="Q80" s="450"/>
      <c r="R80" s="450"/>
      <c r="S80" s="220"/>
      <c r="T80" s="221" t="s">
        <v>30</v>
      </c>
      <c r="U80" s="220"/>
      <c r="V80" s="450"/>
      <c r="W80" s="450"/>
      <c r="X80" s="448"/>
      <c r="Y80" s="448"/>
      <c r="Z80" s="448"/>
      <c r="AA80" s="448"/>
      <c r="AB80" s="448"/>
      <c r="AC80" s="448"/>
      <c r="AD80" s="448"/>
      <c r="AE80" s="444"/>
      <c r="AF80" s="444"/>
      <c r="AG80" s="444"/>
      <c r="AH80" s="444"/>
      <c r="AI80" s="444"/>
      <c r="AJ80" s="444"/>
      <c r="AK80" s="444"/>
      <c r="AL80" s="444"/>
      <c r="AM80" s="444"/>
      <c r="AN80" s="444"/>
      <c r="AO80" s="444"/>
      <c r="AP80" s="444"/>
      <c r="AT80" s="60"/>
      <c r="AU80" s="60"/>
      <c r="AV80" s="60"/>
      <c r="AW80" s="79"/>
      <c r="AX80" s="79"/>
      <c r="AY80" s="79"/>
      <c r="AZ80" s="79"/>
      <c r="BA80" s="78"/>
      <c r="BB80" s="78"/>
      <c r="BC80" s="78"/>
      <c r="BD80" s="78"/>
      <c r="BE80" s="78"/>
      <c r="BF80" s="78"/>
      <c r="BG80" s="78"/>
      <c r="BH80" s="61"/>
      <c r="BI80" s="61"/>
      <c r="BJ80" s="61"/>
      <c r="BK80" s="61"/>
      <c r="BL80" s="61"/>
      <c r="BM80" s="61"/>
      <c r="BN80" s="61"/>
      <c r="BO80" s="78"/>
      <c r="BP80" s="78"/>
      <c r="BQ80" s="78"/>
      <c r="BR80" s="78"/>
      <c r="BS80" s="78"/>
      <c r="BT80" s="78"/>
      <c r="BU80" s="78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58"/>
    </row>
    <row r="81" spans="1:86" ht="20.100000000000001" customHeight="1" x14ac:dyDescent="0.4">
      <c r="B81" s="472">
        <v>4</v>
      </c>
      <c r="C81" s="449">
        <v>0.45833333333333331</v>
      </c>
      <c r="D81" s="449">
        <v>0.4375</v>
      </c>
      <c r="E81" s="449"/>
      <c r="F81" s="443"/>
      <c r="G81" s="444"/>
      <c r="H81" s="444"/>
      <c r="I81" s="444"/>
      <c r="J81" s="445" t="str">
        <f t="shared" ref="J81" si="36">IFERROR(VLOOKUP(AR81,$C$67:$N$69,3,0),"")&amp;IFERROR(VLOOKUP(AR81,$Q$67:$AB$69,3,0),"")&amp;IFERROR(VLOOKUP(AR81,$AE$67:$AP$69,3,0),"")</f>
        <v>本郷北ＦＣ</v>
      </c>
      <c r="K81" s="446"/>
      <c r="L81" s="446"/>
      <c r="M81" s="446"/>
      <c r="N81" s="446"/>
      <c r="O81" s="446"/>
      <c r="P81" s="446"/>
      <c r="Q81" s="450" t="str">
        <f t="shared" ref="Q81:Q85" si="37">IF(OR(S81="",S82=""),"",S81+S82)</f>
        <v/>
      </c>
      <c r="R81" s="450"/>
      <c r="S81" s="220"/>
      <c r="T81" s="221" t="s">
        <v>30</v>
      </c>
      <c r="U81" s="220"/>
      <c r="V81" s="450" t="str">
        <f t="shared" ref="V81:V85" si="38">IF(OR(U81="",U82=""),"",U81+U82)</f>
        <v/>
      </c>
      <c r="W81" s="450"/>
      <c r="X81" s="447" t="str">
        <f t="shared" ref="X81" si="39">IFERROR(VLOOKUP(AS81,$C$67:$N$69,3,0),"")&amp;IFERROR(VLOOKUP(AS81,$Q$67:$AB$69,3,0),"")&amp;IFERROR(VLOOKUP(AS81,$AE$67:$AP$69,3,0),"")</f>
        <v>雀宮ＦＣ</v>
      </c>
      <c r="Y81" s="448"/>
      <c r="Z81" s="448"/>
      <c r="AA81" s="448"/>
      <c r="AB81" s="448"/>
      <c r="AC81" s="448"/>
      <c r="AD81" s="448"/>
      <c r="AE81" s="443"/>
      <c r="AF81" s="444"/>
      <c r="AG81" s="444"/>
      <c r="AH81" s="444"/>
      <c r="AI81" s="450" t="str">
        <f t="shared" ref="AI81" ca="1" si="40">DBCS(INDIRECT("U12対戦スケジュール!g"&amp;((ROW()-1)/2+29)))</f>
        <v>２／６／６／２</v>
      </c>
      <c r="AJ81" s="444"/>
      <c r="AK81" s="444"/>
      <c r="AL81" s="444"/>
      <c r="AM81" s="444"/>
      <c r="AN81" s="444"/>
      <c r="AO81" s="444"/>
      <c r="AP81" s="444"/>
      <c r="AR81" s="56">
        <v>1</v>
      </c>
      <c r="AS81" s="56">
        <v>5</v>
      </c>
      <c r="AT81" s="60"/>
      <c r="AU81" s="60"/>
      <c r="AV81" s="60"/>
      <c r="AW81" s="58"/>
      <c r="AX81" s="79"/>
      <c r="AY81" s="79"/>
      <c r="AZ81" s="79"/>
      <c r="BA81" s="61"/>
      <c r="BB81" s="78"/>
      <c r="BC81" s="78"/>
      <c r="BD81" s="78"/>
      <c r="BE81" s="78"/>
      <c r="BF81" s="78"/>
      <c r="BG81" s="78"/>
      <c r="BH81" s="61"/>
      <c r="BI81" s="61"/>
      <c r="BJ81" s="61"/>
      <c r="BK81" s="61"/>
      <c r="BL81" s="61"/>
      <c r="BM81" s="61"/>
      <c r="BN81" s="61"/>
      <c r="BO81" s="61"/>
      <c r="BP81" s="78"/>
      <c r="BQ81" s="78"/>
      <c r="BR81" s="78"/>
      <c r="BS81" s="78"/>
      <c r="BT81" s="78"/>
      <c r="BU81" s="78"/>
      <c r="BV81" s="58"/>
      <c r="BW81" s="79"/>
      <c r="BX81" s="79"/>
      <c r="BY81" s="79"/>
      <c r="BZ81" s="61"/>
      <c r="CA81" s="79"/>
      <c r="CB81" s="79"/>
      <c r="CC81" s="79"/>
      <c r="CD81" s="79"/>
      <c r="CE81" s="79"/>
      <c r="CF81" s="79"/>
      <c r="CG81" s="79"/>
      <c r="CH81" s="58"/>
    </row>
    <row r="82" spans="1:86" ht="20.100000000000001" customHeight="1" x14ac:dyDescent="0.4">
      <c r="B82" s="472"/>
      <c r="C82" s="449"/>
      <c r="D82" s="449"/>
      <c r="E82" s="449"/>
      <c r="F82" s="444"/>
      <c r="G82" s="444"/>
      <c r="H82" s="444"/>
      <c r="I82" s="444"/>
      <c r="J82" s="446"/>
      <c r="K82" s="446"/>
      <c r="L82" s="446"/>
      <c r="M82" s="446"/>
      <c r="N82" s="446"/>
      <c r="O82" s="446"/>
      <c r="P82" s="446"/>
      <c r="Q82" s="450"/>
      <c r="R82" s="450"/>
      <c r="S82" s="220"/>
      <c r="T82" s="221" t="s">
        <v>30</v>
      </c>
      <c r="U82" s="220"/>
      <c r="V82" s="450"/>
      <c r="W82" s="450"/>
      <c r="X82" s="448"/>
      <c r="Y82" s="448"/>
      <c r="Z82" s="448"/>
      <c r="AA82" s="448"/>
      <c r="AB82" s="448"/>
      <c r="AC82" s="448"/>
      <c r="AD82" s="448"/>
      <c r="AE82" s="444"/>
      <c r="AF82" s="444"/>
      <c r="AG82" s="444"/>
      <c r="AH82" s="444"/>
      <c r="AI82" s="444"/>
      <c r="AJ82" s="444"/>
      <c r="AK82" s="444"/>
      <c r="AL82" s="444"/>
      <c r="AM82" s="444"/>
      <c r="AN82" s="444"/>
      <c r="AO82" s="444"/>
      <c r="AP82" s="444"/>
      <c r="AT82" s="60"/>
      <c r="AU82" s="60"/>
      <c r="AV82" s="60"/>
      <c r="AW82" s="79"/>
      <c r="AX82" s="79"/>
      <c r="AY82" s="79"/>
      <c r="AZ82" s="79"/>
      <c r="BA82" s="78"/>
      <c r="BB82" s="78"/>
      <c r="BC82" s="78"/>
      <c r="BD82" s="78"/>
      <c r="BE82" s="78"/>
      <c r="BF82" s="78"/>
      <c r="BG82" s="78"/>
      <c r="BH82" s="61"/>
      <c r="BI82" s="61"/>
      <c r="BJ82" s="61"/>
      <c r="BK82" s="61"/>
      <c r="BL82" s="61"/>
      <c r="BM82" s="61"/>
      <c r="BN82" s="61"/>
      <c r="BO82" s="78"/>
      <c r="BP82" s="78"/>
      <c r="BQ82" s="78"/>
      <c r="BR82" s="78"/>
      <c r="BS82" s="78"/>
      <c r="BT82" s="78"/>
      <c r="BU82" s="78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58"/>
    </row>
    <row r="83" spans="1:86" ht="20.100000000000001" customHeight="1" x14ac:dyDescent="0.4">
      <c r="B83" s="472">
        <v>5</v>
      </c>
      <c r="C83" s="449">
        <v>0.4861111111111111</v>
      </c>
      <c r="D83" s="449"/>
      <c r="E83" s="449"/>
      <c r="F83" s="443"/>
      <c r="G83" s="444"/>
      <c r="H83" s="444"/>
      <c r="I83" s="444"/>
      <c r="J83" s="445" t="str">
        <f t="shared" ref="J83" si="41">IFERROR(VLOOKUP(AR83,$C$67:$N$69,3,0),"")&amp;IFERROR(VLOOKUP(AR83,$Q$67:$AB$69,3,0),"")&amp;IFERROR(VLOOKUP(AR83,$AE$67:$AP$69,3,0),"")</f>
        <v>ＦＣみらいＶ</v>
      </c>
      <c r="K83" s="446"/>
      <c r="L83" s="446"/>
      <c r="M83" s="446"/>
      <c r="N83" s="446"/>
      <c r="O83" s="446"/>
      <c r="P83" s="446"/>
      <c r="Q83" s="450" t="str">
        <f t="shared" si="37"/>
        <v/>
      </c>
      <c r="R83" s="450"/>
      <c r="S83" s="220"/>
      <c r="T83" s="221" t="s">
        <v>30</v>
      </c>
      <c r="U83" s="220"/>
      <c r="V83" s="450" t="str">
        <f t="shared" si="38"/>
        <v/>
      </c>
      <c r="W83" s="450"/>
      <c r="X83" s="447" t="str">
        <f t="shared" ref="X83" si="42">IFERROR(VLOOKUP(AS83,$C$67:$N$69,3,0),"")&amp;IFERROR(VLOOKUP(AS83,$Q$67:$AB$69,3,0),"")&amp;IFERROR(VLOOKUP(AS83,$AE$67:$AP$69,3,0),"")</f>
        <v>みはらＳＣjr</v>
      </c>
      <c r="Y83" s="448"/>
      <c r="Z83" s="448"/>
      <c r="AA83" s="448"/>
      <c r="AB83" s="448"/>
      <c r="AC83" s="448"/>
      <c r="AD83" s="448"/>
      <c r="AE83" s="443"/>
      <c r="AF83" s="444"/>
      <c r="AG83" s="444"/>
      <c r="AH83" s="444"/>
      <c r="AI83" s="450" t="str">
        <f t="shared" ref="AI83" ca="1" si="43">DBCS(INDIRECT("U12対戦スケジュール!g"&amp;((ROW()-1)/2+29)))</f>
        <v>９／１／１／９</v>
      </c>
      <c r="AJ83" s="444"/>
      <c r="AK83" s="444"/>
      <c r="AL83" s="444"/>
      <c r="AM83" s="444"/>
      <c r="AN83" s="444"/>
      <c r="AO83" s="444"/>
      <c r="AP83" s="444"/>
      <c r="AR83" s="56">
        <v>7</v>
      </c>
      <c r="AS83" s="56">
        <v>2</v>
      </c>
      <c r="AT83" s="60"/>
      <c r="AU83" s="60"/>
      <c r="AV83" s="60"/>
      <c r="AW83" s="58"/>
      <c r="AX83" s="79"/>
      <c r="AY83" s="79"/>
      <c r="AZ83" s="79"/>
      <c r="BA83" s="61"/>
      <c r="BB83" s="78"/>
      <c r="BC83" s="78"/>
      <c r="BD83" s="78"/>
      <c r="BE83" s="78"/>
      <c r="BF83" s="78"/>
      <c r="BG83" s="78"/>
      <c r="BH83" s="61"/>
      <c r="BI83" s="61"/>
      <c r="BJ83" s="61"/>
      <c r="BK83" s="61"/>
      <c r="BL83" s="61"/>
      <c r="BM83" s="61"/>
      <c r="BN83" s="61"/>
      <c r="BO83" s="61"/>
      <c r="BP83" s="78"/>
      <c r="BQ83" s="78"/>
      <c r="BR83" s="78"/>
      <c r="BS83" s="78"/>
      <c r="BT83" s="78"/>
      <c r="BU83" s="78"/>
      <c r="BV83" s="58"/>
      <c r="BW83" s="79"/>
      <c r="BX83" s="79"/>
      <c r="BY83" s="79"/>
      <c r="BZ83" s="61"/>
      <c r="CA83" s="79"/>
      <c r="CB83" s="79"/>
      <c r="CC83" s="79"/>
      <c r="CD83" s="79"/>
      <c r="CE83" s="79"/>
      <c r="CF83" s="79"/>
      <c r="CG83" s="79"/>
      <c r="CH83" s="58"/>
    </row>
    <row r="84" spans="1:86" ht="20.100000000000001" customHeight="1" x14ac:dyDescent="0.4">
      <c r="B84" s="472"/>
      <c r="C84" s="449"/>
      <c r="D84" s="449"/>
      <c r="E84" s="449"/>
      <c r="F84" s="444"/>
      <c r="G84" s="444"/>
      <c r="H84" s="444"/>
      <c r="I84" s="444"/>
      <c r="J84" s="446"/>
      <c r="K84" s="446"/>
      <c r="L84" s="446"/>
      <c r="M84" s="446"/>
      <c r="N84" s="446"/>
      <c r="O84" s="446"/>
      <c r="P84" s="446"/>
      <c r="Q84" s="450"/>
      <c r="R84" s="450"/>
      <c r="S84" s="220"/>
      <c r="T84" s="221" t="s">
        <v>30</v>
      </c>
      <c r="U84" s="220"/>
      <c r="V84" s="450"/>
      <c r="W84" s="450"/>
      <c r="X84" s="448"/>
      <c r="Y84" s="448"/>
      <c r="Z84" s="448"/>
      <c r="AA84" s="448"/>
      <c r="AB84" s="448"/>
      <c r="AC84" s="448"/>
      <c r="AD84" s="448"/>
      <c r="AE84" s="444"/>
      <c r="AF84" s="444"/>
      <c r="AG84" s="444"/>
      <c r="AH84" s="444"/>
      <c r="AI84" s="444"/>
      <c r="AJ84" s="444"/>
      <c r="AK84" s="444"/>
      <c r="AL84" s="444"/>
      <c r="AM84" s="444"/>
      <c r="AN84" s="444"/>
      <c r="AO84" s="444"/>
      <c r="AP84" s="444"/>
      <c r="AT84" s="60"/>
      <c r="AU84" s="60"/>
      <c r="AV84" s="60"/>
      <c r="AW84" s="79"/>
      <c r="AX84" s="79"/>
      <c r="AY84" s="79"/>
      <c r="AZ84" s="79"/>
      <c r="BA84" s="78"/>
      <c r="BB84" s="78"/>
      <c r="BC84" s="78"/>
      <c r="BD84" s="78"/>
      <c r="BE84" s="78"/>
      <c r="BF84" s="78"/>
      <c r="BG84" s="78"/>
      <c r="BH84" s="61"/>
      <c r="BI84" s="61"/>
      <c r="BJ84" s="61"/>
      <c r="BK84" s="61"/>
      <c r="BL84" s="61"/>
      <c r="BM84" s="61"/>
      <c r="BN84" s="61"/>
      <c r="BO84" s="78"/>
      <c r="BP84" s="78"/>
      <c r="BQ84" s="78"/>
      <c r="BR84" s="78"/>
      <c r="BS84" s="78"/>
      <c r="BT84" s="78"/>
      <c r="BU84" s="78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58"/>
    </row>
    <row r="85" spans="1:86" ht="20.100000000000001" customHeight="1" x14ac:dyDescent="0.4">
      <c r="B85" s="472">
        <v>6</v>
      </c>
      <c r="C85" s="449">
        <v>0.51388888888888895</v>
      </c>
      <c r="D85" s="449">
        <v>0.4375</v>
      </c>
      <c r="E85" s="449"/>
      <c r="F85" s="443"/>
      <c r="G85" s="444"/>
      <c r="H85" s="444"/>
      <c r="I85" s="444"/>
      <c r="J85" s="445" t="str">
        <f t="shared" ref="J85" si="44">IFERROR(VLOOKUP(AR85,$C$67:$N$69,3,0),"")&amp;IFERROR(VLOOKUP(AR85,$Q$67:$AB$69,3,0),"")&amp;IFERROR(VLOOKUP(AR85,$AE$67:$AP$69,3,0),"")</f>
        <v>ジュベニール</v>
      </c>
      <c r="K85" s="446"/>
      <c r="L85" s="446"/>
      <c r="M85" s="446"/>
      <c r="N85" s="446"/>
      <c r="O85" s="446"/>
      <c r="P85" s="446"/>
      <c r="Q85" s="450" t="str">
        <f t="shared" si="37"/>
        <v/>
      </c>
      <c r="R85" s="450"/>
      <c r="S85" s="220"/>
      <c r="T85" s="221" t="s">
        <v>30</v>
      </c>
      <c r="U85" s="220"/>
      <c r="V85" s="450" t="str">
        <f t="shared" si="38"/>
        <v/>
      </c>
      <c r="W85" s="450"/>
      <c r="X85" s="447" t="str">
        <f t="shared" ref="X85" si="45">IFERROR(VLOOKUP(AS85,$C$67:$N$69,3,0),"")&amp;IFERROR(VLOOKUP(AS85,$Q$67:$AB$69,3,0),"")&amp;IFERROR(VLOOKUP(AS85,$AE$67:$AP$69,3,0),"")</f>
        <v>本郷北ＦＣ</v>
      </c>
      <c r="Y85" s="448"/>
      <c r="Z85" s="448"/>
      <c r="AA85" s="448"/>
      <c r="AB85" s="448"/>
      <c r="AC85" s="448"/>
      <c r="AD85" s="448"/>
      <c r="AE85" s="443"/>
      <c r="AF85" s="444"/>
      <c r="AG85" s="444"/>
      <c r="AH85" s="444"/>
      <c r="AI85" s="450" t="str">
        <f t="shared" ref="AI85" ca="1" si="46">DBCS(INDIRECT("U12対戦スケジュール!g"&amp;((ROW()-1)/2+29)))</f>
        <v>７／２／２／７</v>
      </c>
      <c r="AJ85" s="444"/>
      <c r="AK85" s="444"/>
      <c r="AL85" s="444"/>
      <c r="AM85" s="444"/>
      <c r="AN85" s="444"/>
      <c r="AO85" s="444"/>
      <c r="AP85" s="444"/>
      <c r="AR85" s="56">
        <v>9</v>
      </c>
      <c r="AS85" s="56">
        <v>1</v>
      </c>
      <c r="AT85" s="60"/>
      <c r="AU85" s="60"/>
      <c r="AV85" s="60"/>
      <c r="AW85" s="58"/>
      <c r="AX85" s="79"/>
      <c r="AY85" s="79"/>
      <c r="AZ85" s="79"/>
      <c r="BA85" s="61"/>
      <c r="BB85" s="78"/>
      <c r="BC85" s="78"/>
      <c r="BD85" s="78"/>
      <c r="BE85" s="78"/>
      <c r="BF85" s="78"/>
      <c r="BG85" s="78"/>
      <c r="BH85" s="61"/>
      <c r="BI85" s="61"/>
      <c r="BJ85" s="61"/>
      <c r="BK85" s="61"/>
      <c r="BL85" s="61"/>
      <c r="BM85" s="61"/>
      <c r="BN85" s="61"/>
      <c r="BO85" s="61"/>
      <c r="BP85" s="78"/>
      <c r="BQ85" s="78"/>
      <c r="BR85" s="78"/>
      <c r="BS85" s="78"/>
      <c r="BT85" s="78"/>
      <c r="BU85" s="78"/>
      <c r="BV85" s="58"/>
      <c r="BW85" s="79"/>
      <c r="BX85" s="79"/>
      <c r="BY85" s="79"/>
      <c r="BZ85" s="61"/>
      <c r="CA85" s="79"/>
      <c r="CB85" s="79"/>
      <c r="CC85" s="79"/>
      <c r="CD85" s="79"/>
      <c r="CE85" s="79"/>
      <c r="CF85" s="79"/>
      <c r="CG85" s="79"/>
      <c r="CH85" s="58"/>
    </row>
    <row r="86" spans="1:86" ht="20.100000000000001" customHeight="1" x14ac:dyDescent="0.4">
      <c r="B86" s="472"/>
      <c r="C86" s="449"/>
      <c r="D86" s="449"/>
      <c r="E86" s="449"/>
      <c r="F86" s="444"/>
      <c r="G86" s="444"/>
      <c r="H86" s="444"/>
      <c r="I86" s="444"/>
      <c r="J86" s="446"/>
      <c r="K86" s="446"/>
      <c r="L86" s="446"/>
      <c r="M86" s="446"/>
      <c r="N86" s="446"/>
      <c r="O86" s="446"/>
      <c r="P86" s="446"/>
      <c r="Q86" s="450"/>
      <c r="R86" s="450"/>
      <c r="S86" s="220"/>
      <c r="T86" s="221" t="s">
        <v>30</v>
      </c>
      <c r="U86" s="220"/>
      <c r="V86" s="450"/>
      <c r="W86" s="450"/>
      <c r="X86" s="448"/>
      <c r="Y86" s="448"/>
      <c r="Z86" s="448"/>
      <c r="AA86" s="448"/>
      <c r="AB86" s="448"/>
      <c r="AC86" s="448"/>
      <c r="AD86" s="448"/>
      <c r="AE86" s="444"/>
      <c r="AF86" s="444"/>
      <c r="AG86" s="444"/>
      <c r="AH86" s="444"/>
      <c r="AI86" s="444"/>
      <c r="AJ86" s="444"/>
      <c r="AK86" s="444"/>
      <c r="AL86" s="444"/>
      <c r="AM86" s="444"/>
      <c r="AN86" s="444"/>
      <c r="AO86" s="444"/>
      <c r="AP86" s="444"/>
      <c r="AR86" s="58"/>
      <c r="AS86" s="59"/>
      <c r="AT86" s="60"/>
      <c r="AU86" s="60"/>
      <c r="AV86" s="60"/>
      <c r="AW86" s="79"/>
      <c r="AX86" s="79"/>
      <c r="AY86" s="79"/>
      <c r="AZ86" s="79"/>
      <c r="BA86" s="78"/>
      <c r="BB86" s="78"/>
      <c r="BC86" s="78"/>
      <c r="BD86" s="78"/>
      <c r="BE86" s="78"/>
      <c r="BF86" s="78"/>
      <c r="BG86" s="78"/>
      <c r="BH86" s="61"/>
      <c r="BI86" s="61"/>
      <c r="BJ86" s="61"/>
      <c r="BK86" s="61"/>
      <c r="BL86" s="61"/>
      <c r="BM86" s="61"/>
      <c r="BN86" s="61"/>
      <c r="BO86" s="78"/>
      <c r="BP86" s="78"/>
      <c r="BQ86" s="78"/>
      <c r="BR86" s="78"/>
      <c r="BS86" s="78"/>
      <c r="BT86" s="78"/>
      <c r="BU86" s="78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58"/>
    </row>
    <row r="87" spans="1:86" ht="20.100000000000001" hidden="1" customHeight="1" x14ac:dyDescent="0.4">
      <c r="B87" s="472">
        <v>7</v>
      </c>
      <c r="C87" s="605">
        <v>0.58333333333333304</v>
      </c>
      <c r="D87" s="605">
        <v>0.4375</v>
      </c>
      <c r="E87" s="605"/>
      <c r="F87" s="608"/>
      <c r="G87" s="609"/>
      <c r="H87" s="609"/>
      <c r="I87" s="609"/>
      <c r="J87" s="610" t="str">
        <f>IFERROR(VLOOKUP(AR87,$C$67:$N$69,3,0),"")&amp;IFERROR(VLOOKUP(AR87,$Q$67:$AB$69,3,0),"")&amp;IFERROR(VLOOKUP(AR87,$AE$67:$AP$69,3,0),"")</f>
        <v/>
      </c>
      <c r="K87" s="611"/>
      <c r="L87" s="611"/>
      <c r="M87" s="611"/>
      <c r="N87" s="611"/>
      <c r="O87" s="611"/>
      <c r="P87" s="611"/>
      <c r="Q87" s="472" t="str">
        <f>IF(OR(S87="",S88=""),"",S87+S88)</f>
        <v/>
      </c>
      <c r="R87" s="472"/>
      <c r="S87" s="235"/>
      <c r="T87" s="236" t="s">
        <v>30</v>
      </c>
      <c r="U87" s="235"/>
      <c r="V87" s="472" t="str">
        <f>IF(OR(U87="",U88=""),"",U87+U88)</f>
        <v/>
      </c>
      <c r="W87" s="472"/>
      <c r="X87" s="612" t="str">
        <f>IFERROR(VLOOKUP(AS87,$C$67:$N$69,3,0),"")&amp;IFERROR(VLOOKUP(AS87,$Q$67:$AB$69,3,0),"")&amp;IFERROR(VLOOKUP(AS87,$AE$67:$AP$69,3,0),"")</f>
        <v/>
      </c>
      <c r="Y87" s="613"/>
      <c r="Z87" s="613"/>
      <c r="AA87" s="613"/>
      <c r="AB87" s="613"/>
      <c r="AC87" s="613"/>
      <c r="AD87" s="613"/>
      <c r="AE87" s="608"/>
      <c r="AF87" s="609"/>
      <c r="AG87" s="609"/>
      <c r="AH87" s="609"/>
      <c r="AI87" s="472" t="str">
        <f ca="1">DBCS(INDIRECT("U12対戦スケジュール!g"&amp;((ROW()-1)/2+26)))</f>
        <v>２／６／６／２</v>
      </c>
      <c r="AJ87" s="444"/>
      <c r="AK87" s="444"/>
      <c r="AL87" s="444"/>
      <c r="AM87" s="444"/>
      <c r="AN87" s="444"/>
      <c r="AO87" s="444"/>
      <c r="AP87" s="444"/>
      <c r="AT87" s="60"/>
      <c r="AU87" s="60"/>
      <c r="AV87" s="60"/>
      <c r="AW87" s="58"/>
      <c r="AX87" s="79"/>
      <c r="AY87" s="79"/>
      <c r="AZ87" s="79"/>
      <c r="BA87" s="61"/>
      <c r="BB87" s="78"/>
      <c r="BC87" s="139"/>
      <c r="BD87" s="139"/>
      <c r="BE87" s="139"/>
      <c r="BF87" s="139"/>
      <c r="BG87" s="139"/>
      <c r="BH87" s="59"/>
      <c r="BI87" s="59"/>
      <c r="BJ87" s="61"/>
      <c r="BK87" s="61"/>
      <c r="BL87" s="61"/>
      <c r="BM87" s="61"/>
      <c r="BN87" s="61"/>
      <c r="BO87" s="61"/>
      <c r="BP87" s="78"/>
      <c r="BQ87" s="139"/>
      <c r="BR87" s="139"/>
      <c r="BS87" s="139"/>
      <c r="BT87" s="139"/>
      <c r="BU87" s="139"/>
      <c r="BV87" s="140"/>
      <c r="BW87" s="141"/>
      <c r="BX87" s="79"/>
      <c r="BY87" s="79"/>
      <c r="BZ87" s="61"/>
      <c r="CA87" s="79"/>
      <c r="CB87" s="79"/>
      <c r="CC87" s="79"/>
      <c r="CD87" s="79"/>
      <c r="CE87" s="79"/>
      <c r="CF87" s="79"/>
      <c r="CG87" s="79"/>
      <c r="CH87" s="58"/>
    </row>
    <row r="88" spans="1:86" ht="20.100000000000001" hidden="1" customHeight="1" x14ac:dyDescent="0.4">
      <c r="B88" s="472"/>
      <c r="C88" s="605"/>
      <c r="D88" s="605"/>
      <c r="E88" s="605"/>
      <c r="F88" s="609"/>
      <c r="G88" s="609"/>
      <c r="H88" s="609"/>
      <c r="I88" s="609"/>
      <c r="J88" s="611"/>
      <c r="K88" s="611"/>
      <c r="L88" s="611"/>
      <c r="M88" s="611"/>
      <c r="N88" s="611"/>
      <c r="O88" s="611"/>
      <c r="P88" s="611"/>
      <c r="Q88" s="472"/>
      <c r="R88" s="472"/>
      <c r="S88" s="235"/>
      <c r="T88" s="236" t="s">
        <v>30</v>
      </c>
      <c r="U88" s="235"/>
      <c r="V88" s="472"/>
      <c r="W88" s="472"/>
      <c r="X88" s="613"/>
      <c r="Y88" s="613"/>
      <c r="Z88" s="613"/>
      <c r="AA88" s="613"/>
      <c r="AB88" s="613"/>
      <c r="AC88" s="613"/>
      <c r="AD88" s="613"/>
      <c r="AE88" s="609"/>
      <c r="AF88" s="609"/>
      <c r="AG88" s="609"/>
      <c r="AH88" s="609"/>
      <c r="AI88" s="444"/>
      <c r="AJ88" s="444"/>
      <c r="AK88" s="444"/>
      <c r="AL88" s="444"/>
      <c r="AM88" s="444"/>
      <c r="AN88" s="444"/>
      <c r="AO88" s="444"/>
      <c r="AP88" s="444"/>
      <c r="AR88" s="58"/>
      <c r="AS88" s="59"/>
      <c r="AT88" s="60"/>
      <c r="AU88" s="60"/>
      <c r="AV88" s="60"/>
      <c r="AW88" s="79"/>
      <c r="AX88" s="79"/>
      <c r="AY88" s="79"/>
      <c r="AZ88" s="79"/>
      <c r="BA88" s="78"/>
      <c r="BB88" s="78"/>
      <c r="BC88" s="139"/>
      <c r="BD88" s="139"/>
      <c r="BE88" s="139"/>
      <c r="BF88" s="139"/>
      <c r="BG88" s="139"/>
      <c r="BH88" s="59"/>
      <c r="BI88" s="59"/>
      <c r="BJ88" s="61"/>
      <c r="BK88" s="61"/>
      <c r="BL88" s="61"/>
      <c r="BM88" s="61"/>
      <c r="BN88" s="61"/>
      <c r="BO88" s="78"/>
      <c r="BP88" s="78"/>
      <c r="BQ88" s="139"/>
      <c r="BR88" s="139"/>
      <c r="BS88" s="139"/>
      <c r="BT88" s="139"/>
      <c r="BU88" s="139"/>
      <c r="BV88" s="141"/>
      <c r="BW88" s="141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58"/>
    </row>
    <row r="89" spans="1:86" s="55" customFormat="1" ht="15.75" customHeight="1" x14ac:dyDescent="0.4">
      <c r="A89" s="58"/>
      <c r="B89" s="59"/>
      <c r="C89" s="60"/>
      <c r="D89" s="60"/>
      <c r="E89" s="60"/>
      <c r="F89" s="59"/>
      <c r="G89" s="59"/>
      <c r="H89" s="59"/>
      <c r="I89" s="59"/>
      <c r="J89" s="59"/>
      <c r="K89" s="61"/>
      <c r="L89" s="61"/>
      <c r="M89" s="62"/>
      <c r="N89" s="63"/>
      <c r="O89" s="62"/>
      <c r="P89" s="61"/>
      <c r="Q89" s="61"/>
      <c r="R89" s="59"/>
      <c r="S89" s="59"/>
      <c r="T89" s="59"/>
      <c r="U89" s="59"/>
      <c r="V89" s="59"/>
      <c r="W89" s="66"/>
      <c r="X89" s="66"/>
      <c r="Y89" s="66"/>
      <c r="Z89" s="66"/>
      <c r="AA89" s="66"/>
      <c r="AB89" s="66"/>
      <c r="AC89" s="58"/>
      <c r="AR89" s="58"/>
      <c r="AS89" s="59"/>
      <c r="AT89" s="60"/>
      <c r="AU89" s="60"/>
      <c r="AV89" s="60"/>
      <c r="AW89" s="59"/>
      <c r="AX89" s="59"/>
      <c r="AY89" s="59"/>
      <c r="AZ89" s="59"/>
      <c r="BA89" s="59"/>
      <c r="BB89" s="61"/>
      <c r="BC89" s="61"/>
      <c r="BD89" s="62"/>
      <c r="BE89" s="63"/>
      <c r="BF89" s="62"/>
      <c r="BG89" s="61"/>
      <c r="BH89" s="61"/>
      <c r="BI89" s="59"/>
      <c r="BJ89" s="59"/>
      <c r="BK89" s="59"/>
      <c r="BL89" s="59"/>
      <c r="BM89" s="59"/>
      <c r="BN89" s="66"/>
      <c r="BO89" s="66"/>
      <c r="BP89" s="66"/>
      <c r="BQ89" s="66"/>
      <c r="BR89" s="66"/>
      <c r="BS89" s="66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  <c r="CG89" s="58"/>
      <c r="CH89" s="58"/>
    </row>
    <row r="90" spans="1:86" ht="20.25" customHeight="1" x14ac:dyDescent="0.4">
      <c r="D90" s="477" t="s">
        <v>31</v>
      </c>
      <c r="E90" s="477"/>
      <c r="F90" s="477"/>
      <c r="G90" s="477"/>
      <c r="H90" s="477"/>
      <c r="I90" s="477"/>
      <c r="J90" s="477" t="s">
        <v>27</v>
      </c>
      <c r="K90" s="477"/>
      <c r="L90" s="477"/>
      <c r="M90" s="477"/>
      <c r="N90" s="477"/>
      <c r="O90" s="477"/>
      <c r="P90" s="477"/>
      <c r="Q90" s="477"/>
      <c r="R90" s="478" t="s">
        <v>32</v>
      </c>
      <c r="S90" s="478"/>
      <c r="T90" s="478"/>
      <c r="U90" s="478"/>
      <c r="V90" s="478"/>
      <c r="W90" s="478"/>
      <c r="X90" s="478"/>
      <c r="Y90" s="478"/>
      <c r="Z90" s="478"/>
      <c r="AA90" s="479" t="s">
        <v>33</v>
      </c>
      <c r="AB90" s="479"/>
      <c r="AC90" s="479"/>
      <c r="AD90" s="479" t="s">
        <v>34</v>
      </c>
      <c r="AE90" s="479"/>
      <c r="AF90" s="479"/>
      <c r="AG90" s="479"/>
      <c r="AH90" s="479"/>
      <c r="AI90" s="479"/>
      <c r="AJ90" s="479"/>
      <c r="AK90" s="479"/>
      <c r="AL90" s="479"/>
      <c r="AM90" s="479"/>
      <c r="AR90" s="58"/>
      <c r="AS90" s="58"/>
      <c r="AT90" s="58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61"/>
      <c r="BJ90" s="61"/>
      <c r="BK90" s="61"/>
      <c r="BL90" s="61"/>
      <c r="BM90" s="61"/>
      <c r="BN90" s="61"/>
      <c r="BO90" s="61"/>
      <c r="BP90" s="61"/>
      <c r="BQ90" s="61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58"/>
      <c r="CF90" s="58"/>
      <c r="CG90" s="58"/>
      <c r="CH90" s="58"/>
    </row>
    <row r="91" spans="1:86" ht="30" customHeight="1" x14ac:dyDescent="0.4">
      <c r="D91" s="477" t="s">
        <v>35</v>
      </c>
      <c r="E91" s="477"/>
      <c r="F91" s="477"/>
      <c r="G91" s="477"/>
      <c r="H91" s="477"/>
      <c r="I91" s="477"/>
      <c r="J91" s="477"/>
      <c r="K91" s="477"/>
      <c r="L91" s="477"/>
      <c r="M91" s="477"/>
      <c r="N91" s="477"/>
      <c r="O91" s="477"/>
      <c r="P91" s="477"/>
      <c r="Q91" s="477"/>
      <c r="R91" s="478"/>
      <c r="S91" s="478"/>
      <c r="T91" s="478"/>
      <c r="U91" s="478"/>
      <c r="V91" s="478"/>
      <c r="W91" s="478"/>
      <c r="X91" s="478"/>
      <c r="Y91" s="478"/>
      <c r="Z91" s="478"/>
      <c r="AA91" s="481"/>
      <c r="AB91" s="481"/>
      <c r="AC91" s="481"/>
      <c r="AD91" s="480"/>
      <c r="AE91" s="480"/>
      <c r="AF91" s="480"/>
      <c r="AG91" s="480"/>
      <c r="AH91" s="480"/>
      <c r="AI91" s="480"/>
      <c r="AJ91" s="480"/>
      <c r="AK91" s="480"/>
      <c r="AL91" s="480"/>
      <c r="AM91" s="480"/>
      <c r="AR91" s="58"/>
      <c r="AS91" s="58"/>
      <c r="AT91" s="58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61"/>
      <c r="BJ91" s="61"/>
      <c r="BK91" s="61"/>
      <c r="BL91" s="61"/>
      <c r="BM91" s="61"/>
      <c r="BN91" s="61"/>
      <c r="BO91" s="61"/>
      <c r="BP91" s="61"/>
      <c r="BQ91" s="61"/>
      <c r="BR91" s="81"/>
      <c r="BS91" s="81"/>
      <c r="BT91" s="81"/>
      <c r="BU91" s="83"/>
      <c r="BV91" s="83"/>
      <c r="BW91" s="83"/>
      <c r="BX91" s="83"/>
      <c r="BY91" s="83"/>
      <c r="BZ91" s="83"/>
      <c r="CA91" s="83"/>
      <c r="CB91" s="83"/>
      <c r="CC91" s="83"/>
      <c r="CD91" s="83"/>
      <c r="CE91" s="58"/>
      <c r="CF91" s="58"/>
      <c r="CG91" s="58"/>
      <c r="CH91" s="58"/>
    </row>
    <row r="92" spans="1:86" ht="30" customHeight="1" x14ac:dyDescent="0.4">
      <c r="D92" s="477" t="s">
        <v>35</v>
      </c>
      <c r="E92" s="477"/>
      <c r="F92" s="477"/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77"/>
      <c r="R92" s="478"/>
      <c r="S92" s="478"/>
      <c r="T92" s="478"/>
      <c r="U92" s="478"/>
      <c r="V92" s="478"/>
      <c r="W92" s="478"/>
      <c r="X92" s="478"/>
      <c r="Y92" s="478"/>
      <c r="Z92" s="478"/>
      <c r="AA92" s="479"/>
      <c r="AB92" s="479"/>
      <c r="AC92" s="479"/>
      <c r="AD92" s="480"/>
      <c r="AE92" s="480"/>
      <c r="AF92" s="480"/>
      <c r="AG92" s="480"/>
      <c r="AH92" s="480"/>
      <c r="AI92" s="480"/>
      <c r="AJ92" s="480"/>
      <c r="AK92" s="480"/>
      <c r="AL92" s="480"/>
      <c r="AM92" s="480"/>
      <c r="AR92" s="58"/>
      <c r="AS92" s="58"/>
      <c r="AT92" s="58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61"/>
      <c r="BJ92" s="61"/>
      <c r="BK92" s="61"/>
      <c r="BL92" s="61"/>
      <c r="BM92" s="61"/>
      <c r="BN92" s="61"/>
      <c r="BO92" s="61"/>
      <c r="BP92" s="61"/>
      <c r="BQ92" s="61"/>
      <c r="BR92" s="63"/>
      <c r="BS92" s="63"/>
      <c r="BT92" s="63"/>
      <c r="BU92" s="83"/>
      <c r="BV92" s="83"/>
      <c r="BW92" s="83"/>
      <c r="BX92" s="83"/>
      <c r="BY92" s="83"/>
      <c r="BZ92" s="83"/>
      <c r="CA92" s="83"/>
      <c r="CB92" s="83"/>
      <c r="CC92" s="83"/>
      <c r="CD92" s="83"/>
      <c r="CE92" s="58"/>
      <c r="CF92" s="58"/>
      <c r="CG92" s="58"/>
      <c r="CH92" s="58"/>
    </row>
    <row r="93" spans="1:86" ht="30" customHeight="1" x14ac:dyDescent="0.4">
      <c r="D93" s="477" t="s">
        <v>35</v>
      </c>
      <c r="E93" s="477"/>
      <c r="F93" s="477"/>
      <c r="G93" s="477"/>
      <c r="H93" s="477"/>
      <c r="I93" s="477"/>
      <c r="J93" s="477"/>
      <c r="K93" s="477"/>
      <c r="L93" s="477"/>
      <c r="M93" s="477"/>
      <c r="N93" s="477"/>
      <c r="O93" s="477"/>
      <c r="P93" s="477"/>
      <c r="Q93" s="477"/>
      <c r="R93" s="478"/>
      <c r="S93" s="478"/>
      <c r="T93" s="478"/>
      <c r="U93" s="478"/>
      <c r="V93" s="478"/>
      <c r="W93" s="478"/>
      <c r="X93" s="478"/>
      <c r="Y93" s="478"/>
      <c r="Z93" s="478"/>
      <c r="AA93" s="479"/>
      <c r="AB93" s="479"/>
      <c r="AC93" s="479"/>
      <c r="AD93" s="480"/>
      <c r="AE93" s="480"/>
      <c r="AF93" s="480"/>
      <c r="AG93" s="480"/>
      <c r="AH93" s="480"/>
      <c r="AI93" s="480"/>
      <c r="AJ93" s="480"/>
      <c r="AK93" s="480"/>
      <c r="AL93" s="480"/>
      <c r="AM93" s="480"/>
      <c r="AR93" s="58"/>
      <c r="AS93" s="58"/>
      <c r="AT93" s="58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61"/>
      <c r="BJ93" s="61"/>
      <c r="BK93" s="61"/>
      <c r="BL93" s="61"/>
      <c r="BM93" s="61"/>
      <c r="BN93" s="61"/>
      <c r="BO93" s="61"/>
      <c r="BP93" s="61"/>
      <c r="BQ93" s="61"/>
      <c r="BR93" s="63"/>
      <c r="BS93" s="63"/>
      <c r="BT93" s="63"/>
      <c r="BU93" s="83"/>
      <c r="BV93" s="83"/>
      <c r="BW93" s="83"/>
      <c r="BX93" s="83"/>
      <c r="BY93" s="83"/>
      <c r="BZ93" s="83"/>
      <c r="CA93" s="83"/>
      <c r="CB93" s="83"/>
      <c r="CC93" s="83"/>
      <c r="CD93" s="83"/>
      <c r="CE93" s="58"/>
      <c r="CF93" s="58"/>
      <c r="CG93" s="58"/>
      <c r="CH93" s="58"/>
    </row>
    <row r="94" spans="1:86" ht="14.25" customHeight="1" x14ac:dyDescent="0.4">
      <c r="A94" s="451" t="s">
        <v>563</v>
      </c>
      <c r="B94" s="451"/>
      <c r="C94" s="451"/>
      <c r="D94" s="451"/>
      <c r="E94" s="451"/>
      <c r="F94" s="451"/>
      <c r="G94" s="451"/>
      <c r="H94" s="451"/>
      <c r="I94" s="451"/>
      <c r="J94" s="451"/>
      <c r="K94" s="451"/>
      <c r="L94" s="451"/>
      <c r="M94" s="451"/>
      <c r="N94" s="451"/>
      <c r="O94" s="451"/>
      <c r="P94" s="451"/>
      <c r="Q94" s="451"/>
      <c r="R94" s="451"/>
      <c r="S94" s="451"/>
      <c r="T94" s="451"/>
      <c r="U94" s="451"/>
      <c r="V94" s="451"/>
      <c r="W94" s="451"/>
      <c r="X94" s="451"/>
      <c r="Y94" s="451"/>
      <c r="Z94" s="451"/>
      <c r="AA94" s="451"/>
      <c r="AB94" s="451"/>
      <c r="AC94" s="451"/>
      <c r="AD94" s="451"/>
      <c r="AE94" s="451"/>
      <c r="AF94" s="451"/>
      <c r="AG94" s="451"/>
      <c r="AH94" s="451"/>
      <c r="AI94" s="451"/>
      <c r="AJ94" s="451"/>
      <c r="AK94" s="451"/>
      <c r="AL94" s="451"/>
      <c r="AM94" s="451"/>
      <c r="AN94" s="451"/>
      <c r="AO94" s="451"/>
      <c r="AP94" s="451"/>
      <c r="AQ94" s="451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/>
    </row>
    <row r="95" spans="1:86" ht="14.25" customHeight="1" x14ac:dyDescent="0.4">
      <c r="A95" s="451"/>
      <c r="B95" s="451"/>
      <c r="C95" s="451"/>
      <c r="D95" s="451"/>
      <c r="E95" s="451"/>
      <c r="F95" s="451"/>
      <c r="G95" s="451"/>
      <c r="H95" s="451"/>
      <c r="I95" s="451"/>
      <c r="J95" s="451"/>
      <c r="K95" s="451"/>
      <c r="L95" s="451"/>
      <c r="M95" s="451"/>
      <c r="N95" s="451"/>
      <c r="O95" s="451"/>
      <c r="P95" s="451"/>
      <c r="Q95" s="451"/>
      <c r="R95" s="451"/>
      <c r="S95" s="451"/>
      <c r="T95" s="451"/>
      <c r="U95" s="451"/>
      <c r="V95" s="451"/>
      <c r="W95" s="451"/>
      <c r="X95" s="451"/>
      <c r="Y95" s="451"/>
      <c r="Z95" s="451"/>
      <c r="AA95" s="451"/>
      <c r="AB95" s="451"/>
      <c r="AC95" s="451"/>
      <c r="AD95" s="451"/>
      <c r="AE95" s="451"/>
      <c r="AF95" s="451"/>
      <c r="AG95" s="451"/>
      <c r="AH95" s="451"/>
      <c r="AI95" s="451"/>
      <c r="AJ95" s="451"/>
      <c r="AK95" s="451"/>
      <c r="AL95" s="451"/>
      <c r="AM95" s="451"/>
      <c r="AN95" s="451"/>
      <c r="AO95" s="451"/>
      <c r="AP95" s="451"/>
      <c r="AQ95" s="451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  <c r="BU95" s="69"/>
      <c r="BV95" s="69"/>
      <c r="BW95" s="69"/>
      <c r="BX95" s="69"/>
      <c r="BY95" s="69"/>
      <c r="BZ95" s="69"/>
      <c r="CA95" s="69"/>
      <c r="CB95" s="69"/>
      <c r="CC95" s="69"/>
      <c r="CD95" s="69"/>
      <c r="CE95" s="69"/>
      <c r="CF95" s="69"/>
      <c r="CG95" s="69"/>
      <c r="CH95" s="69"/>
    </row>
    <row r="96" spans="1:86" ht="27.75" customHeight="1" x14ac:dyDescent="0.4">
      <c r="C96" s="460" t="s">
        <v>8</v>
      </c>
      <c r="D96" s="460"/>
      <c r="E96" s="460"/>
      <c r="F96" s="460"/>
      <c r="G96" s="482" t="str">
        <f>U12対戦スケジュール!F86</f>
        <v>本郷北小学校</v>
      </c>
      <c r="H96" s="483"/>
      <c r="I96" s="483"/>
      <c r="J96" s="483"/>
      <c r="K96" s="483"/>
      <c r="L96" s="483"/>
      <c r="M96" s="483"/>
      <c r="N96" s="483"/>
      <c r="O96" s="483"/>
      <c r="P96" s="460" t="s">
        <v>0</v>
      </c>
      <c r="Q96" s="460"/>
      <c r="R96" s="460"/>
      <c r="S96" s="460"/>
      <c r="T96" s="482" t="str">
        <f>U12対戦スケジュール!F87</f>
        <v>本郷北ＦＣ</v>
      </c>
      <c r="U96" s="483"/>
      <c r="V96" s="483"/>
      <c r="W96" s="483"/>
      <c r="X96" s="483"/>
      <c r="Y96" s="483"/>
      <c r="Z96" s="483"/>
      <c r="AA96" s="483"/>
      <c r="AB96" s="483"/>
      <c r="AC96" s="460" t="s">
        <v>9</v>
      </c>
      <c r="AD96" s="460"/>
      <c r="AE96" s="460"/>
      <c r="AF96" s="460"/>
      <c r="AG96" s="484">
        <f>U12組合せ!$B44</f>
        <v>43752</v>
      </c>
      <c r="AH96" s="485"/>
      <c r="AI96" s="485"/>
      <c r="AJ96" s="485"/>
      <c r="AK96" s="485"/>
      <c r="AL96" s="485"/>
      <c r="AM96" s="488" t="str">
        <f>"（"&amp;TEXT(AG96,"aaa")&amp;"）"</f>
        <v>（月）</v>
      </c>
      <c r="AN96" s="488"/>
      <c r="AO96" s="489"/>
      <c r="AR96" s="58"/>
      <c r="AS96" s="58"/>
      <c r="AT96" s="70"/>
      <c r="AU96" s="70"/>
      <c r="AV96" s="70"/>
      <c r="AW96" s="70"/>
      <c r="AX96" s="75"/>
      <c r="AY96" s="80"/>
      <c r="AZ96" s="80"/>
      <c r="BA96" s="80"/>
      <c r="BB96" s="80"/>
      <c r="BC96" s="80"/>
      <c r="BD96" s="80"/>
      <c r="BE96" s="80"/>
      <c r="BF96" s="80"/>
      <c r="BG96" s="70"/>
      <c r="BH96" s="70"/>
      <c r="BI96" s="70"/>
      <c r="BJ96" s="70"/>
      <c r="BK96" s="75"/>
      <c r="BL96" s="80"/>
      <c r="BM96" s="80"/>
      <c r="BN96" s="80"/>
      <c r="BO96" s="80"/>
      <c r="BP96" s="80"/>
      <c r="BQ96" s="80"/>
      <c r="BR96" s="80"/>
      <c r="BS96" s="80"/>
      <c r="BT96" s="70"/>
      <c r="BU96" s="70"/>
      <c r="BV96" s="70"/>
      <c r="BW96" s="70"/>
      <c r="BX96" s="82"/>
      <c r="BY96" s="82"/>
      <c r="BZ96" s="82"/>
      <c r="CA96" s="82"/>
      <c r="CB96" s="82"/>
      <c r="CC96" s="82"/>
      <c r="CD96" s="82"/>
      <c r="CE96" s="82"/>
      <c r="CF96" s="82"/>
      <c r="CG96" s="58"/>
      <c r="CH96" s="58"/>
    </row>
    <row r="97" spans="2:86" ht="15" customHeight="1" x14ac:dyDescent="0.4"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64"/>
      <c r="X97" s="64"/>
      <c r="Y97" s="64"/>
      <c r="Z97" s="64"/>
      <c r="AA97" s="64"/>
      <c r="AB97" s="64"/>
      <c r="AC97" s="64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68"/>
      <c r="BO97" s="68"/>
      <c r="BP97" s="68"/>
      <c r="BQ97" s="68"/>
      <c r="BR97" s="68"/>
      <c r="BS97" s="68"/>
      <c r="BT97" s="68"/>
      <c r="BU97" s="58"/>
      <c r="BV97" s="58"/>
      <c r="BW97" s="58"/>
      <c r="BX97" s="58"/>
      <c r="BY97" s="58"/>
      <c r="BZ97" s="58"/>
      <c r="CA97" s="58"/>
      <c r="CB97" s="58"/>
      <c r="CC97" s="58"/>
      <c r="CD97" s="58"/>
      <c r="CE97" s="58"/>
      <c r="CF97" s="58"/>
      <c r="CG97" s="58"/>
      <c r="CH97" s="58"/>
    </row>
    <row r="98" spans="2:86" ht="18" customHeight="1" x14ac:dyDescent="0.4">
      <c r="C98" s="475">
        <v>1</v>
      </c>
      <c r="D98" s="475"/>
      <c r="E98" s="476" t="str">
        <f>U12組合せ!$J$14</f>
        <v>本郷北ＦＣ</v>
      </c>
      <c r="F98" s="476"/>
      <c r="G98" s="476"/>
      <c r="H98" s="476"/>
      <c r="I98" s="476"/>
      <c r="J98" s="476"/>
      <c r="K98" s="476"/>
      <c r="L98" s="476"/>
      <c r="M98" s="476"/>
      <c r="N98" s="476"/>
      <c r="O98" s="58"/>
      <c r="P98" s="58"/>
      <c r="Q98" s="475">
        <v>2</v>
      </c>
      <c r="R98" s="475"/>
      <c r="S98" s="476" t="str">
        <f>U12組合せ!$J$15</f>
        <v>みはらＳＣjr</v>
      </c>
      <c r="T98" s="476"/>
      <c r="U98" s="476"/>
      <c r="V98" s="476"/>
      <c r="W98" s="476"/>
      <c r="X98" s="476"/>
      <c r="Y98" s="476"/>
      <c r="Z98" s="476"/>
      <c r="AA98" s="476"/>
      <c r="AB98" s="476"/>
      <c r="AC98" s="68"/>
      <c r="AD98" s="55"/>
      <c r="AE98" s="475">
        <v>3</v>
      </c>
      <c r="AF98" s="475"/>
      <c r="AG98" s="476" t="str">
        <f>U12組合せ!$J$16</f>
        <v>Ｓ４スペランツァ</v>
      </c>
      <c r="AH98" s="476"/>
      <c r="AI98" s="476"/>
      <c r="AJ98" s="476"/>
      <c r="AK98" s="476"/>
      <c r="AL98" s="476"/>
      <c r="AM98" s="476"/>
      <c r="AN98" s="476"/>
      <c r="AO98" s="476"/>
      <c r="AP98" s="476"/>
      <c r="AR98" s="58"/>
      <c r="AS98" s="58"/>
      <c r="AT98" s="71"/>
      <c r="AU98" s="71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58"/>
      <c r="BG98" s="58"/>
      <c r="BH98" s="71"/>
      <c r="BI98" s="71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68"/>
      <c r="BU98" s="58"/>
      <c r="BV98" s="71"/>
      <c r="BW98" s="71"/>
      <c r="BX98" s="72"/>
      <c r="BY98" s="72"/>
      <c r="BZ98" s="72"/>
      <c r="CA98" s="72"/>
      <c r="CB98" s="72"/>
      <c r="CC98" s="72"/>
      <c r="CD98" s="72"/>
      <c r="CE98" s="72"/>
      <c r="CF98" s="72"/>
      <c r="CG98" s="72"/>
      <c r="CH98" s="58"/>
    </row>
    <row r="99" spans="2:86" ht="18" customHeight="1" x14ac:dyDescent="0.4">
      <c r="C99" s="475">
        <v>4</v>
      </c>
      <c r="D99" s="475"/>
      <c r="E99" s="476" t="str">
        <f>U12組合せ!$J$17</f>
        <v>カテット白沢ＳＳ</v>
      </c>
      <c r="F99" s="476"/>
      <c r="G99" s="476"/>
      <c r="H99" s="476"/>
      <c r="I99" s="476"/>
      <c r="J99" s="476"/>
      <c r="K99" s="476"/>
      <c r="L99" s="476"/>
      <c r="M99" s="476"/>
      <c r="N99" s="476"/>
      <c r="O99" s="58"/>
      <c r="P99" s="58"/>
      <c r="Q99" s="475">
        <v>5</v>
      </c>
      <c r="R99" s="475"/>
      <c r="S99" s="476" t="str">
        <f>U12組合せ!$J$18</f>
        <v>雀宮ＦＣ</v>
      </c>
      <c r="T99" s="476"/>
      <c r="U99" s="476"/>
      <c r="V99" s="476"/>
      <c r="W99" s="476"/>
      <c r="X99" s="476"/>
      <c r="Y99" s="476"/>
      <c r="Z99" s="476"/>
      <c r="AA99" s="476"/>
      <c r="AB99" s="476"/>
      <c r="AC99" s="68"/>
      <c r="AD99" s="55"/>
      <c r="AE99" s="475">
        <v>6</v>
      </c>
      <c r="AF99" s="475"/>
      <c r="AG99" s="476" t="str">
        <f>U12組合せ!$J$19</f>
        <v>富士見ＳＳＳ</v>
      </c>
      <c r="AH99" s="476"/>
      <c r="AI99" s="476"/>
      <c r="AJ99" s="476"/>
      <c r="AK99" s="476"/>
      <c r="AL99" s="476"/>
      <c r="AM99" s="476"/>
      <c r="AN99" s="476"/>
      <c r="AO99" s="476"/>
      <c r="AP99" s="476"/>
      <c r="AR99" s="58"/>
      <c r="AS99" s="58"/>
      <c r="AT99" s="71"/>
      <c r="AU99" s="71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58"/>
      <c r="BG99" s="58"/>
      <c r="BH99" s="71"/>
      <c r="BI99" s="71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68"/>
      <c r="BU99" s="58"/>
      <c r="BV99" s="71"/>
      <c r="BW99" s="71"/>
      <c r="BX99" s="72"/>
      <c r="BY99" s="72"/>
      <c r="BZ99" s="72"/>
      <c r="CA99" s="72"/>
      <c r="CB99" s="72"/>
      <c r="CC99" s="72"/>
      <c r="CD99" s="72"/>
      <c r="CE99" s="72"/>
      <c r="CF99" s="72"/>
      <c r="CG99" s="72"/>
      <c r="CH99" s="58"/>
    </row>
    <row r="100" spans="2:86" ht="18" customHeight="1" x14ac:dyDescent="0.4">
      <c r="C100" s="475">
        <v>7</v>
      </c>
      <c r="D100" s="475"/>
      <c r="E100" s="476" t="str">
        <f>U12組合せ!$J$20</f>
        <v>ＦＣみらいＶ</v>
      </c>
      <c r="F100" s="476"/>
      <c r="G100" s="476"/>
      <c r="H100" s="476"/>
      <c r="I100" s="476"/>
      <c r="J100" s="476"/>
      <c r="K100" s="476"/>
      <c r="L100" s="476"/>
      <c r="M100" s="476"/>
      <c r="N100" s="476"/>
      <c r="O100" s="58"/>
      <c r="P100" s="58"/>
      <c r="Q100" s="475">
        <v>8</v>
      </c>
      <c r="R100" s="475"/>
      <c r="S100" s="476" t="str">
        <f>U12組合せ!$J$21</f>
        <v>上河内ＪＳＣ</v>
      </c>
      <c r="T100" s="476"/>
      <c r="U100" s="476"/>
      <c r="V100" s="476"/>
      <c r="W100" s="476"/>
      <c r="X100" s="476"/>
      <c r="Y100" s="476"/>
      <c r="Z100" s="476"/>
      <c r="AA100" s="476"/>
      <c r="AB100" s="476"/>
      <c r="AC100" s="68"/>
      <c r="AD100" s="55"/>
      <c r="AE100" s="475">
        <v>9</v>
      </c>
      <c r="AF100" s="475"/>
      <c r="AG100" s="476" t="str">
        <f>U12組合せ!$J$22</f>
        <v>ジュベニール</v>
      </c>
      <c r="AH100" s="476"/>
      <c r="AI100" s="476"/>
      <c r="AJ100" s="476"/>
      <c r="AK100" s="476"/>
      <c r="AL100" s="476"/>
      <c r="AM100" s="476"/>
      <c r="AN100" s="476"/>
      <c r="AO100" s="476"/>
      <c r="AP100" s="476"/>
      <c r="AR100" s="58"/>
      <c r="AS100" s="58"/>
      <c r="AT100" s="71"/>
      <c r="AU100" s="71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58"/>
      <c r="BG100" s="58"/>
      <c r="BH100" s="71"/>
      <c r="BI100" s="71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68"/>
      <c r="BU100" s="58"/>
      <c r="BV100" s="71"/>
      <c r="BW100" s="71"/>
      <c r="BX100" s="72"/>
      <c r="BY100" s="72"/>
      <c r="BZ100" s="72"/>
      <c r="CA100" s="72"/>
      <c r="CB100" s="72"/>
      <c r="CC100" s="72"/>
      <c r="CD100" s="72"/>
      <c r="CE100" s="72"/>
      <c r="CF100" s="72"/>
      <c r="CG100" s="72"/>
      <c r="CH100" s="58"/>
    </row>
    <row r="101" spans="2:86" ht="18" customHeight="1" x14ac:dyDescent="0.4">
      <c r="C101" s="475"/>
      <c r="D101" s="475"/>
      <c r="E101" s="476"/>
      <c r="F101" s="476"/>
      <c r="G101" s="476"/>
      <c r="H101" s="476"/>
      <c r="I101" s="476"/>
      <c r="J101" s="476"/>
      <c r="K101" s="476"/>
      <c r="L101" s="476"/>
      <c r="M101" s="476"/>
      <c r="N101" s="476"/>
      <c r="O101" s="58"/>
      <c r="P101" s="58"/>
      <c r="Q101" s="475"/>
      <c r="R101" s="475"/>
      <c r="S101" s="476"/>
      <c r="T101" s="476"/>
      <c r="U101" s="476"/>
      <c r="V101" s="476"/>
      <c r="W101" s="476"/>
      <c r="X101" s="476"/>
      <c r="Y101" s="476"/>
      <c r="Z101" s="476"/>
      <c r="AA101" s="476"/>
      <c r="AB101" s="476"/>
      <c r="AC101" s="68"/>
      <c r="AD101" s="55"/>
      <c r="AE101" s="475"/>
      <c r="AF101" s="475"/>
      <c r="AG101" s="476"/>
      <c r="AH101" s="476"/>
      <c r="AI101" s="476"/>
      <c r="AJ101" s="476"/>
      <c r="AK101" s="476"/>
      <c r="AL101" s="476"/>
      <c r="AM101" s="476"/>
      <c r="AN101" s="476"/>
      <c r="AO101" s="476"/>
      <c r="AP101" s="476"/>
      <c r="AR101" s="58"/>
      <c r="AS101" s="58"/>
      <c r="AT101" s="71"/>
      <c r="AU101" s="71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58"/>
      <c r="BG101" s="58"/>
      <c r="BH101" s="71"/>
      <c r="BI101" s="71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68"/>
      <c r="BU101" s="58"/>
      <c r="BV101" s="71"/>
      <c r="BW101" s="71"/>
      <c r="BX101" s="72"/>
      <c r="BY101" s="72"/>
      <c r="BZ101" s="72"/>
      <c r="CA101" s="72"/>
      <c r="CB101" s="72"/>
      <c r="CC101" s="72"/>
      <c r="CD101" s="72"/>
      <c r="CE101" s="72"/>
      <c r="CF101" s="72"/>
      <c r="CG101" s="72"/>
      <c r="CH101" s="58"/>
    </row>
    <row r="102" spans="2:86" ht="18" customHeight="1" x14ac:dyDescent="0.4">
      <c r="C102" s="475"/>
      <c r="D102" s="475"/>
      <c r="E102" s="476"/>
      <c r="F102" s="476"/>
      <c r="G102" s="476"/>
      <c r="H102" s="476"/>
      <c r="I102" s="476"/>
      <c r="J102" s="476"/>
      <c r="K102" s="476"/>
      <c r="L102" s="476"/>
      <c r="M102" s="476"/>
      <c r="N102" s="476"/>
      <c r="O102" s="58"/>
      <c r="P102" s="58"/>
      <c r="Q102" s="475"/>
      <c r="R102" s="475"/>
      <c r="S102" s="476"/>
      <c r="T102" s="476"/>
      <c r="U102" s="476"/>
      <c r="V102" s="476"/>
      <c r="W102" s="476"/>
      <c r="X102" s="476"/>
      <c r="Y102" s="476"/>
      <c r="Z102" s="476"/>
      <c r="AA102" s="476"/>
      <c r="AB102" s="476"/>
      <c r="AC102" s="68"/>
      <c r="AD102" s="55"/>
      <c r="AE102" s="475"/>
      <c r="AF102" s="475"/>
      <c r="AG102" s="476"/>
      <c r="AH102" s="476"/>
      <c r="AI102" s="476"/>
      <c r="AJ102" s="476"/>
      <c r="AK102" s="476"/>
      <c r="AL102" s="476"/>
      <c r="AM102" s="476"/>
      <c r="AN102" s="476"/>
      <c r="AO102" s="476"/>
      <c r="AP102" s="476"/>
      <c r="AR102" s="58"/>
      <c r="AS102" s="58"/>
      <c r="AT102" s="71"/>
      <c r="AU102" s="71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58"/>
      <c r="BG102" s="58"/>
      <c r="BH102" s="71"/>
      <c r="BI102" s="71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68"/>
      <c r="BU102" s="58"/>
      <c r="BV102" s="71"/>
      <c r="BW102" s="71"/>
      <c r="BX102" s="72"/>
      <c r="BY102" s="72"/>
      <c r="BZ102" s="72"/>
      <c r="CA102" s="72"/>
      <c r="CB102" s="72"/>
      <c r="CC102" s="72"/>
      <c r="CD102" s="72"/>
      <c r="CE102" s="72"/>
      <c r="CF102" s="72"/>
      <c r="CG102" s="72"/>
      <c r="CH102" s="58"/>
    </row>
    <row r="103" spans="2:86" ht="18" customHeight="1" x14ac:dyDescent="0.4">
      <c r="C103" s="524"/>
      <c r="D103" s="524"/>
      <c r="E103" s="546"/>
      <c r="F103" s="546"/>
      <c r="G103" s="546"/>
      <c r="H103" s="546"/>
      <c r="I103" s="546"/>
      <c r="J103" s="546"/>
      <c r="K103" s="546"/>
      <c r="L103" s="546"/>
      <c r="M103" s="546"/>
      <c r="N103" s="546"/>
      <c r="O103" s="58"/>
      <c r="P103" s="58"/>
      <c r="Q103" s="524"/>
      <c r="R103" s="524"/>
      <c r="S103" s="546"/>
      <c r="T103" s="546"/>
      <c r="U103" s="546"/>
      <c r="V103" s="546"/>
      <c r="W103" s="546"/>
      <c r="X103" s="546"/>
      <c r="Y103" s="546"/>
      <c r="Z103" s="546"/>
      <c r="AA103" s="546"/>
      <c r="AB103" s="546"/>
      <c r="AC103" s="68"/>
      <c r="AD103" s="58"/>
      <c r="AE103" s="524"/>
      <c r="AF103" s="524"/>
      <c r="AG103" s="546"/>
      <c r="AH103" s="546"/>
      <c r="AI103" s="546"/>
      <c r="AJ103" s="546"/>
      <c r="AK103" s="546"/>
      <c r="AL103" s="546"/>
      <c r="AM103" s="546"/>
      <c r="AN103" s="546"/>
      <c r="AO103" s="546"/>
      <c r="AP103" s="546"/>
      <c r="AR103" s="58"/>
      <c r="AS103" s="58"/>
      <c r="AT103" s="71"/>
      <c r="AU103" s="71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58"/>
      <c r="BG103" s="58"/>
      <c r="BH103" s="71"/>
      <c r="BI103" s="71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68"/>
      <c r="BU103" s="58"/>
      <c r="BV103" s="71"/>
      <c r="BW103" s="71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58"/>
    </row>
    <row r="104" spans="2:86" ht="21" customHeight="1" x14ac:dyDescent="0.4">
      <c r="B104" s="56" t="s">
        <v>569</v>
      </c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8"/>
      <c r="CB104" s="58"/>
      <c r="CC104" s="58"/>
      <c r="CD104" s="58"/>
      <c r="CE104" s="58"/>
      <c r="CF104" s="58"/>
      <c r="CG104" s="58"/>
      <c r="CH104" s="58"/>
    </row>
    <row r="105" spans="2:86" ht="20.25" customHeight="1" x14ac:dyDescent="0.4">
      <c r="B105" s="219"/>
      <c r="C105" s="456" t="s">
        <v>25</v>
      </c>
      <c r="D105" s="456"/>
      <c r="E105" s="456"/>
      <c r="F105" s="458" t="s">
        <v>26</v>
      </c>
      <c r="G105" s="459"/>
      <c r="H105" s="459"/>
      <c r="I105" s="459"/>
      <c r="J105" s="456" t="s">
        <v>27</v>
      </c>
      <c r="K105" s="457"/>
      <c r="L105" s="457"/>
      <c r="M105" s="457"/>
      <c r="N105" s="457"/>
      <c r="O105" s="457"/>
      <c r="P105" s="457"/>
      <c r="Q105" s="456" t="s">
        <v>540</v>
      </c>
      <c r="R105" s="456"/>
      <c r="S105" s="456"/>
      <c r="T105" s="456"/>
      <c r="U105" s="456"/>
      <c r="V105" s="456"/>
      <c r="W105" s="456"/>
      <c r="X105" s="456" t="s">
        <v>27</v>
      </c>
      <c r="Y105" s="457"/>
      <c r="Z105" s="457"/>
      <c r="AA105" s="457"/>
      <c r="AB105" s="457"/>
      <c r="AC105" s="457"/>
      <c r="AD105" s="457"/>
      <c r="AE105" s="458" t="s">
        <v>26</v>
      </c>
      <c r="AF105" s="459"/>
      <c r="AG105" s="459"/>
      <c r="AH105" s="459"/>
      <c r="AI105" s="456" t="s">
        <v>29</v>
      </c>
      <c r="AJ105" s="456"/>
      <c r="AK105" s="457"/>
      <c r="AL105" s="457"/>
      <c r="AM105" s="457"/>
      <c r="AN105" s="457"/>
      <c r="AO105" s="457"/>
      <c r="AP105" s="457"/>
      <c r="AR105" s="58"/>
      <c r="AS105" s="73"/>
      <c r="AT105" s="74"/>
      <c r="AU105" s="74"/>
      <c r="AV105" s="74"/>
      <c r="AW105" s="76"/>
      <c r="AX105" s="77"/>
      <c r="AY105" s="77"/>
      <c r="AZ105" s="77"/>
      <c r="BA105" s="74"/>
      <c r="BB105" s="78"/>
      <c r="BC105" s="78"/>
      <c r="BD105" s="78"/>
      <c r="BE105" s="78"/>
      <c r="BF105" s="78"/>
      <c r="BG105" s="78"/>
      <c r="BH105" s="74"/>
      <c r="BI105" s="74"/>
      <c r="BJ105" s="74"/>
      <c r="BK105" s="74"/>
      <c r="BL105" s="74"/>
      <c r="BM105" s="74"/>
      <c r="BN105" s="74"/>
      <c r="BO105" s="74"/>
      <c r="BP105" s="78"/>
      <c r="BQ105" s="78"/>
      <c r="BR105" s="78"/>
      <c r="BS105" s="78"/>
      <c r="BT105" s="78"/>
      <c r="BU105" s="78"/>
      <c r="BV105" s="76"/>
      <c r="BW105" s="77"/>
      <c r="BX105" s="77"/>
      <c r="BY105" s="77"/>
      <c r="BZ105" s="74"/>
      <c r="CA105" s="74"/>
      <c r="CB105" s="78"/>
      <c r="CC105" s="78"/>
      <c r="CD105" s="78"/>
      <c r="CE105" s="78"/>
      <c r="CF105" s="78"/>
      <c r="CG105" s="78"/>
      <c r="CH105" s="58"/>
    </row>
    <row r="106" spans="2:86" ht="20.100000000000001" customHeight="1" x14ac:dyDescent="0.4">
      <c r="B106" s="472">
        <v>1</v>
      </c>
      <c r="C106" s="449">
        <v>0.375</v>
      </c>
      <c r="D106" s="449"/>
      <c r="E106" s="449"/>
      <c r="F106" s="443"/>
      <c r="G106" s="444"/>
      <c r="H106" s="444"/>
      <c r="I106" s="444"/>
      <c r="J106" s="445" t="str">
        <f>IFERROR(VLOOKUP(AR106,$C$98:$N$100,3,0),"")&amp;IFERROR(VLOOKUP(AR106,$Q$98:$AB$100,3,0),"")&amp;IFERROR(VLOOKUP(AR106,$AE$98:$AP$100,3,0),"")</f>
        <v>本郷北ＦＣ</v>
      </c>
      <c r="K106" s="446"/>
      <c r="L106" s="446"/>
      <c r="M106" s="446"/>
      <c r="N106" s="446"/>
      <c r="O106" s="446"/>
      <c r="P106" s="446"/>
      <c r="Q106" s="450" t="str">
        <f t="shared" ref="Q106:Q110" si="47">IF(OR(S106="",S107=""),"",S106+S107)</f>
        <v/>
      </c>
      <c r="R106" s="450"/>
      <c r="S106" s="220"/>
      <c r="T106" s="221" t="s">
        <v>30</v>
      </c>
      <c r="U106" s="220"/>
      <c r="V106" s="450" t="str">
        <f t="shared" ref="V106:V110" si="48">IF(OR(U106="",U107=""),"",U106+U107)</f>
        <v/>
      </c>
      <c r="W106" s="450"/>
      <c r="X106" s="447" t="str">
        <f>IFERROR(VLOOKUP(AS106,$C$98:$N$100,3,0),"")&amp;IFERROR(VLOOKUP(AS106,$Q$98:$AB$100,3,0),"")&amp;IFERROR(VLOOKUP(AS106,$AE$98:$AP$100,3,0),"")</f>
        <v>富士見ＳＳＳ</v>
      </c>
      <c r="Y106" s="448"/>
      <c r="Z106" s="448"/>
      <c r="AA106" s="448"/>
      <c r="AB106" s="448"/>
      <c r="AC106" s="448"/>
      <c r="AD106" s="448"/>
      <c r="AE106" s="443"/>
      <c r="AF106" s="444"/>
      <c r="AG106" s="444"/>
      <c r="AH106" s="444"/>
      <c r="AI106" s="450" t="str">
        <f ca="1">DBCS(INDIRECT("U12対戦スケジュール!ｇ"&amp;(ROW()/2+35)))</f>
        <v>２／４／４／２</v>
      </c>
      <c r="AJ106" s="444"/>
      <c r="AK106" s="444"/>
      <c r="AL106" s="444"/>
      <c r="AM106" s="444"/>
      <c r="AN106" s="444"/>
      <c r="AO106" s="444"/>
      <c r="AP106" s="444"/>
      <c r="AR106" s="58">
        <v>1</v>
      </c>
      <c r="AS106" s="230">
        <v>6</v>
      </c>
      <c r="AT106" s="60"/>
      <c r="AU106" s="60"/>
      <c r="AV106" s="60"/>
      <c r="AW106" s="58"/>
      <c r="AX106" s="79"/>
      <c r="AY106" s="79"/>
      <c r="AZ106" s="79"/>
      <c r="BA106" s="61"/>
      <c r="BB106" s="78"/>
      <c r="BC106" s="78"/>
      <c r="BD106" s="78"/>
      <c r="BE106" s="78"/>
      <c r="BF106" s="78"/>
      <c r="BG106" s="78"/>
      <c r="BH106" s="61"/>
      <c r="BI106" s="61"/>
      <c r="BJ106" s="61"/>
      <c r="BK106" s="61"/>
      <c r="BL106" s="61"/>
      <c r="BM106" s="61"/>
      <c r="BN106" s="61"/>
      <c r="BO106" s="61"/>
      <c r="BP106" s="78"/>
      <c r="BQ106" s="78"/>
      <c r="BR106" s="78"/>
      <c r="BS106" s="78"/>
      <c r="BT106" s="78"/>
      <c r="BU106" s="78"/>
      <c r="BV106" s="58"/>
      <c r="BW106" s="79"/>
      <c r="BX106" s="79"/>
      <c r="BY106" s="79"/>
      <c r="BZ106" s="61"/>
      <c r="CA106" s="79"/>
      <c r="CB106" s="79"/>
      <c r="CC106" s="79"/>
      <c r="CD106" s="79"/>
      <c r="CE106" s="79"/>
      <c r="CF106" s="79"/>
      <c r="CG106" s="79"/>
      <c r="CH106" s="58"/>
    </row>
    <row r="107" spans="2:86" ht="20.100000000000001" customHeight="1" x14ac:dyDescent="0.4">
      <c r="B107" s="472"/>
      <c r="C107" s="449"/>
      <c r="D107" s="449"/>
      <c r="E107" s="449"/>
      <c r="F107" s="444"/>
      <c r="G107" s="444"/>
      <c r="H107" s="444"/>
      <c r="I107" s="444"/>
      <c r="J107" s="446"/>
      <c r="K107" s="446"/>
      <c r="L107" s="446"/>
      <c r="M107" s="446"/>
      <c r="N107" s="446"/>
      <c r="O107" s="446"/>
      <c r="P107" s="446"/>
      <c r="Q107" s="450"/>
      <c r="R107" s="450"/>
      <c r="S107" s="220"/>
      <c r="T107" s="221" t="s">
        <v>30</v>
      </c>
      <c r="U107" s="220"/>
      <c r="V107" s="450"/>
      <c r="W107" s="450"/>
      <c r="X107" s="448"/>
      <c r="Y107" s="448"/>
      <c r="Z107" s="448"/>
      <c r="AA107" s="448"/>
      <c r="AB107" s="448"/>
      <c r="AC107" s="448"/>
      <c r="AD107" s="448"/>
      <c r="AE107" s="444"/>
      <c r="AF107" s="444"/>
      <c r="AG107" s="444"/>
      <c r="AH107" s="444"/>
      <c r="AI107" s="444"/>
      <c r="AJ107" s="444"/>
      <c r="AK107" s="444"/>
      <c r="AL107" s="444"/>
      <c r="AM107" s="444"/>
      <c r="AN107" s="444"/>
      <c r="AO107" s="444"/>
      <c r="AP107" s="444"/>
      <c r="AR107" s="58"/>
      <c r="AS107" s="230"/>
      <c r="AT107" s="60"/>
      <c r="AU107" s="60"/>
      <c r="AV107" s="60"/>
      <c r="AW107" s="79"/>
      <c r="AX107" s="79"/>
      <c r="AY107" s="79"/>
      <c r="AZ107" s="79"/>
      <c r="BA107" s="78"/>
      <c r="BB107" s="78"/>
      <c r="BC107" s="78"/>
      <c r="BD107" s="78"/>
      <c r="BE107" s="78"/>
      <c r="BF107" s="78"/>
      <c r="BG107" s="78"/>
      <c r="BH107" s="61"/>
      <c r="BI107" s="61"/>
      <c r="BJ107" s="61"/>
      <c r="BK107" s="61"/>
      <c r="BL107" s="61"/>
      <c r="BM107" s="61"/>
      <c r="BN107" s="61"/>
      <c r="BO107" s="78"/>
      <c r="BP107" s="78"/>
      <c r="BQ107" s="78"/>
      <c r="BR107" s="78"/>
      <c r="BS107" s="78"/>
      <c r="BT107" s="78"/>
      <c r="BU107" s="78"/>
      <c r="BV107" s="79"/>
      <c r="BW107" s="79"/>
      <c r="BX107" s="79"/>
      <c r="BY107" s="79"/>
      <c r="BZ107" s="79"/>
      <c r="CA107" s="79"/>
      <c r="CB107" s="79"/>
      <c r="CC107" s="79"/>
      <c r="CD107" s="79"/>
      <c r="CE107" s="79"/>
      <c r="CF107" s="79"/>
      <c r="CG107" s="79"/>
      <c r="CH107" s="58"/>
    </row>
    <row r="108" spans="2:86" ht="20.100000000000001" customHeight="1" x14ac:dyDescent="0.4">
      <c r="B108" s="472">
        <v>2</v>
      </c>
      <c r="C108" s="449">
        <v>0.40277777777777773</v>
      </c>
      <c r="D108" s="449">
        <v>0.4375</v>
      </c>
      <c r="E108" s="449"/>
      <c r="F108" s="443"/>
      <c r="G108" s="444"/>
      <c r="H108" s="444"/>
      <c r="I108" s="444"/>
      <c r="J108" s="445" t="str">
        <f t="shared" ref="J108" si="49">IFERROR(VLOOKUP(AR108,$C$98:$N$100,3,0),"")&amp;IFERROR(VLOOKUP(AR108,$Q$98:$AB$100,3,0),"")&amp;IFERROR(VLOOKUP(AR108,$AE$98:$AP$100,3,0),"")</f>
        <v>みはらＳＣjr</v>
      </c>
      <c r="K108" s="446"/>
      <c r="L108" s="446"/>
      <c r="M108" s="446"/>
      <c r="N108" s="446"/>
      <c r="O108" s="446"/>
      <c r="P108" s="446"/>
      <c r="Q108" s="450" t="str">
        <f t="shared" si="47"/>
        <v/>
      </c>
      <c r="R108" s="450"/>
      <c r="S108" s="220"/>
      <c r="T108" s="221" t="s">
        <v>30</v>
      </c>
      <c r="U108" s="220"/>
      <c r="V108" s="450" t="str">
        <f t="shared" si="48"/>
        <v/>
      </c>
      <c r="W108" s="450"/>
      <c r="X108" s="447" t="str">
        <f t="shared" ref="X108" si="50">IFERROR(VLOOKUP(AS108,$C$98:$N$100,3,0),"")&amp;IFERROR(VLOOKUP(AS108,$Q$98:$AB$100,3,0),"")&amp;IFERROR(VLOOKUP(AS108,$AE$98:$AP$100,3,0),"")</f>
        <v>カテット白沢ＳＳ</v>
      </c>
      <c r="Y108" s="448"/>
      <c r="Z108" s="448"/>
      <c r="AA108" s="448"/>
      <c r="AB108" s="448"/>
      <c r="AC108" s="448"/>
      <c r="AD108" s="448"/>
      <c r="AE108" s="443"/>
      <c r="AF108" s="444"/>
      <c r="AG108" s="444"/>
      <c r="AH108" s="444"/>
      <c r="AI108" s="450" t="str">
        <f t="shared" ref="AI108" ca="1" si="51">DBCS(INDIRECT("U12対戦スケジュール!ｇ"&amp;(ROW()/2+35)))</f>
        <v>１／６／６／１</v>
      </c>
      <c r="AJ108" s="444"/>
      <c r="AK108" s="444"/>
      <c r="AL108" s="444"/>
      <c r="AM108" s="444"/>
      <c r="AN108" s="444"/>
      <c r="AO108" s="444"/>
      <c r="AP108" s="444"/>
      <c r="AR108" s="58">
        <v>2</v>
      </c>
      <c r="AS108" s="230">
        <v>4</v>
      </c>
      <c r="AT108" s="60"/>
      <c r="AU108" s="60"/>
      <c r="AV108" s="60"/>
      <c r="AW108" s="58"/>
      <c r="AX108" s="79"/>
      <c r="AY108" s="79"/>
      <c r="AZ108" s="79"/>
      <c r="BA108" s="61"/>
      <c r="BB108" s="78"/>
      <c r="BC108" s="78"/>
      <c r="BD108" s="78"/>
      <c r="BE108" s="78"/>
      <c r="BF108" s="78"/>
      <c r="BG108" s="78"/>
      <c r="BH108" s="61"/>
      <c r="BI108" s="61"/>
      <c r="BJ108" s="61"/>
      <c r="BK108" s="61"/>
      <c r="BL108" s="61"/>
      <c r="BM108" s="61"/>
      <c r="BN108" s="61"/>
      <c r="BO108" s="61"/>
      <c r="BP108" s="78"/>
      <c r="BQ108" s="78"/>
      <c r="BR108" s="78"/>
      <c r="BS108" s="78"/>
      <c r="BT108" s="78"/>
      <c r="BU108" s="78"/>
      <c r="BV108" s="58"/>
      <c r="BW108" s="79"/>
      <c r="BX108" s="79"/>
      <c r="BY108" s="79"/>
      <c r="BZ108" s="61"/>
      <c r="CA108" s="79"/>
      <c r="CB108" s="79"/>
      <c r="CC108" s="79"/>
      <c r="CD108" s="79"/>
      <c r="CE108" s="79"/>
      <c r="CF108" s="79"/>
      <c r="CG108" s="79"/>
      <c r="CH108" s="58"/>
    </row>
    <row r="109" spans="2:86" ht="20.100000000000001" customHeight="1" x14ac:dyDescent="0.4">
      <c r="B109" s="472"/>
      <c r="C109" s="449"/>
      <c r="D109" s="449"/>
      <c r="E109" s="449"/>
      <c r="F109" s="444"/>
      <c r="G109" s="444"/>
      <c r="H109" s="444"/>
      <c r="I109" s="444"/>
      <c r="J109" s="446"/>
      <c r="K109" s="446"/>
      <c r="L109" s="446"/>
      <c r="M109" s="446"/>
      <c r="N109" s="446"/>
      <c r="O109" s="446"/>
      <c r="P109" s="446"/>
      <c r="Q109" s="450"/>
      <c r="R109" s="450"/>
      <c r="S109" s="220"/>
      <c r="T109" s="221" t="s">
        <v>30</v>
      </c>
      <c r="U109" s="220"/>
      <c r="V109" s="450"/>
      <c r="W109" s="450"/>
      <c r="X109" s="448"/>
      <c r="Y109" s="448"/>
      <c r="Z109" s="448"/>
      <c r="AA109" s="448"/>
      <c r="AB109" s="448"/>
      <c r="AC109" s="448"/>
      <c r="AD109" s="448"/>
      <c r="AE109" s="444"/>
      <c r="AF109" s="444"/>
      <c r="AG109" s="444"/>
      <c r="AH109" s="444"/>
      <c r="AI109" s="444"/>
      <c r="AJ109" s="444"/>
      <c r="AK109" s="444"/>
      <c r="AL109" s="444"/>
      <c r="AM109" s="444"/>
      <c r="AN109" s="444"/>
      <c r="AO109" s="444"/>
      <c r="AP109" s="444"/>
      <c r="AR109" s="58"/>
      <c r="AS109" s="230"/>
      <c r="AT109" s="60"/>
      <c r="AU109" s="60"/>
      <c r="AV109" s="60"/>
      <c r="AW109" s="79"/>
      <c r="AX109" s="79"/>
      <c r="AY109" s="79"/>
      <c r="AZ109" s="79"/>
      <c r="BA109" s="78"/>
      <c r="BB109" s="78"/>
      <c r="BC109" s="78"/>
      <c r="BD109" s="78"/>
      <c r="BE109" s="78"/>
      <c r="BF109" s="78"/>
      <c r="BG109" s="78"/>
      <c r="BH109" s="61"/>
      <c r="BI109" s="61"/>
      <c r="BJ109" s="61"/>
      <c r="BK109" s="61"/>
      <c r="BL109" s="61"/>
      <c r="BM109" s="61"/>
      <c r="BN109" s="61"/>
      <c r="BO109" s="78"/>
      <c r="BP109" s="78"/>
      <c r="BQ109" s="78"/>
      <c r="BR109" s="78"/>
      <c r="BS109" s="78"/>
      <c r="BT109" s="78"/>
      <c r="BU109" s="78"/>
      <c r="BV109" s="79"/>
      <c r="BW109" s="79"/>
      <c r="BX109" s="79"/>
      <c r="BY109" s="79"/>
      <c r="BZ109" s="79"/>
      <c r="CA109" s="79"/>
      <c r="CB109" s="79"/>
      <c r="CC109" s="79"/>
      <c r="CD109" s="79"/>
      <c r="CE109" s="79"/>
      <c r="CF109" s="79"/>
      <c r="CG109" s="79"/>
      <c r="CH109" s="58"/>
    </row>
    <row r="110" spans="2:86" ht="20.100000000000001" customHeight="1" x14ac:dyDescent="0.4">
      <c r="B110" s="472">
        <v>3</v>
      </c>
      <c r="C110" s="449">
        <v>0.43055555555555558</v>
      </c>
      <c r="D110" s="449"/>
      <c r="E110" s="449"/>
      <c r="F110" s="443"/>
      <c r="G110" s="444"/>
      <c r="H110" s="444"/>
      <c r="I110" s="444"/>
      <c r="J110" s="445" t="str">
        <f t="shared" ref="J110" si="52">IFERROR(VLOOKUP(AR110,$C$98:$N$100,3,0),"")&amp;IFERROR(VLOOKUP(AR110,$Q$98:$AB$100,3,0),"")&amp;IFERROR(VLOOKUP(AR110,$AE$98:$AP$100,3,0),"")</f>
        <v>上河内ＪＳＣ</v>
      </c>
      <c r="K110" s="446"/>
      <c r="L110" s="446"/>
      <c r="M110" s="446"/>
      <c r="N110" s="446"/>
      <c r="O110" s="446"/>
      <c r="P110" s="446"/>
      <c r="Q110" s="450" t="str">
        <f t="shared" si="47"/>
        <v/>
      </c>
      <c r="R110" s="450"/>
      <c r="S110" s="220"/>
      <c r="T110" s="221" t="s">
        <v>30</v>
      </c>
      <c r="U110" s="220"/>
      <c r="V110" s="450" t="str">
        <f t="shared" si="48"/>
        <v/>
      </c>
      <c r="W110" s="450"/>
      <c r="X110" s="447" t="str">
        <f t="shared" ref="X110" si="53">IFERROR(VLOOKUP(AS110,$C$98:$N$100,3,0),"")&amp;IFERROR(VLOOKUP(AS110,$Q$98:$AB$100,3,0),"")&amp;IFERROR(VLOOKUP(AS110,$AE$98:$AP$100,3,0),"")</f>
        <v>本郷北ＦＣ</v>
      </c>
      <c r="Y110" s="448"/>
      <c r="Z110" s="448"/>
      <c r="AA110" s="448"/>
      <c r="AB110" s="448"/>
      <c r="AC110" s="448"/>
      <c r="AD110" s="448"/>
      <c r="AE110" s="443"/>
      <c r="AF110" s="444"/>
      <c r="AG110" s="444"/>
      <c r="AH110" s="444"/>
      <c r="AI110" s="450" t="str">
        <f t="shared" ref="AI110" ca="1" si="54">DBCS(INDIRECT("U12対戦スケジュール!ｇ"&amp;(ROW()/2+35)))</f>
        <v>９／２／２／９</v>
      </c>
      <c r="AJ110" s="444"/>
      <c r="AK110" s="444"/>
      <c r="AL110" s="444"/>
      <c r="AM110" s="444"/>
      <c r="AN110" s="444"/>
      <c r="AO110" s="444"/>
      <c r="AP110" s="444"/>
      <c r="AR110" s="58">
        <v>8</v>
      </c>
      <c r="AS110" s="230">
        <v>1</v>
      </c>
      <c r="AT110" s="60"/>
      <c r="AU110" s="60"/>
      <c r="AV110" s="60"/>
      <c r="AW110" s="58"/>
      <c r="AX110" s="79"/>
      <c r="AY110" s="79"/>
      <c r="AZ110" s="79"/>
      <c r="BA110" s="61"/>
      <c r="BB110" s="78"/>
      <c r="BC110" s="78"/>
      <c r="BD110" s="78"/>
      <c r="BE110" s="78"/>
      <c r="BF110" s="78"/>
      <c r="BG110" s="78"/>
      <c r="BH110" s="61"/>
      <c r="BI110" s="61"/>
      <c r="BJ110" s="61"/>
      <c r="BK110" s="61"/>
      <c r="BL110" s="61"/>
      <c r="BM110" s="61"/>
      <c r="BN110" s="61"/>
      <c r="BO110" s="61"/>
      <c r="BP110" s="78"/>
      <c r="BQ110" s="78"/>
      <c r="BR110" s="78"/>
      <c r="BS110" s="78"/>
      <c r="BT110" s="78"/>
      <c r="BU110" s="78"/>
      <c r="BV110" s="58"/>
      <c r="BW110" s="79"/>
      <c r="BX110" s="79"/>
      <c r="BY110" s="79"/>
      <c r="BZ110" s="61"/>
      <c r="CA110" s="79"/>
      <c r="CB110" s="79"/>
      <c r="CC110" s="79"/>
      <c r="CD110" s="79"/>
      <c r="CE110" s="79"/>
      <c r="CF110" s="79"/>
      <c r="CG110" s="79"/>
      <c r="CH110" s="58"/>
    </row>
    <row r="111" spans="2:86" ht="20.100000000000001" customHeight="1" x14ac:dyDescent="0.4">
      <c r="B111" s="472"/>
      <c r="C111" s="449"/>
      <c r="D111" s="449"/>
      <c r="E111" s="449"/>
      <c r="F111" s="444"/>
      <c r="G111" s="444"/>
      <c r="H111" s="444"/>
      <c r="I111" s="444"/>
      <c r="J111" s="446"/>
      <c r="K111" s="446"/>
      <c r="L111" s="446"/>
      <c r="M111" s="446"/>
      <c r="N111" s="446"/>
      <c r="O111" s="446"/>
      <c r="P111" s="446"/>
      <c r="Q111" s="450"/>
      <c r="R111" s="450"/>
      <c r="S111" s="220"/>
      <c r="T111" s="221" t="s">
        <v>30</v>
      </c>
      <c r="U111" s="220"/>
      <c r="V111" s="450"/>
      <c r="W111" s="450"/>
      <c r="X111" s="448"/>
      <c r="Y111" s="448"/>
      <c r="Z111" s="448"/>
      <c r="AA111" s="448"/>
      <c r="AB111" s="448"/>
      <c r="AC111" s="448"/>
      <c r="AD111" s="448"/>
      <c r="AE111" s="444"/>
      <c r="AF111" s="444"/>
      <c r="AG111" s="444"/>
      <c r="AH111" s="444"/>
      <c r="AI111" s="444"/>
      <c r="AJ111" s="444"/>
      <c r="AK111" s="444"/>
      <c r="AL111" s="444"/>
      <c r="AM111" s="444"/>
      <c r="AN111" s="444"/>
      <c r="AO111" s="444"/>
      <c r="AP111" s="444"/>
      <c r="AR111" s="58"/>
      <c r="AS111" s="230"/>
      <c r="AT111" s="60"/>
      <c r="AU111" s="60"/>
      <c r="AV111" s="60"/>
      <c r="AW111" s="79"/>
      <c r="AX111" s="79"/>
      <c r="AY111" s="79"/>
      <c r="AZ111" s="79"/>
      <c r="BA111" s="78"/>
      <c r="BB111" s="78"/>
      <c r="BC111" s="78"/>
      <c r="BD111" s="78"/>
      <c r="BE111" s="78"/>
      <c r="BF111" s="78"/>
      <c r="BG111" s="78"/>
      <c r="BH111" s="61"/>
      <c r="BI111" s="61"/>
      <c r="BJ111" s="61"/>
      <c r="BK111" s="61"/>
      <c r="BL111" s="61"/>
      <c r="BM111" s="61"/>
      <c r="BN111" s="61"/>
      <c r="BO111" s="78"/>
      <c r="BP111" s="78"/>
      <c r="BQ111" s="78"/>
      <c r="BR111" s="78"/>
      <c r="BS111" s="78"/>
      <c r="BT111" s="78"/>
      <c r="BU111" s="78"/>
      <c r="BV111" s="79"/>
      <c r="BW111" s="79"/>
      <c r="BX111" s="79"/>
      <c r="BY111" s="79"/>
      <c r="BZ111" s="79"/>
      <c r="CA111" s="79"/>
      <c r="CB111" s="79"/>
      <c r="CC111" s="79"/>
      <c r="CD111" s="79"/>
      <c r="CE111" s="79"/>
      <c r="CF111" s="79"/>
      <c r="CG111" s="79"/>
      <c r="CH111" s="58"/>
    </row>
    <row r="112" spans="2:86" ht="20.100000000000001" customHeight="1" x14ac:dyDescent="0.4">
      <c r="B112" s="472">
        <v>4</v>
      </c>
      <c r="C112" s="449">
        <v>0.45833333333333331</v>
      </c>
      <c r="D112" s="449">
        <v>0.4375</v>
      </c>
      <c r="E112" s="449"/>
      <c r="F112" s="614"/>
      <c r="G112" s="615"/>
      <c r="H112" s="615"/>
      <c r="I112" s="615"/>
      <c r="J112" s="445" t="str">
        <f t="shared" ref="J112" si="55">IFERROR(VLOOKUP(AR112,$C$98:$N$100,3,0),"")&amp;IFERROR(VLOOKUP(AR112,$Q$98:$AB$100,3,0),"")&amp;IFERROR(VLOOKUP(AR112,$AE$98:$AP$100,3,0),"")</f>
        <v>ジュベニール</v>
      </c>
      <c r="K112" s="446"/>
      <c r="L112" s="446"/>
      <c r="M112" s="446"/>
      <c r="N112" s="446"/>
      <c r="O112" s="446"/>
      <c r="P112" s="446"/>
      <c r="Q112" s="450" t="str">
        <f t="shared" ref="Q112:Q116" si="56">IF(OR(S112="",S113=""),"",S112+S113)</f>
        <v/>
      </c>
      <c r="R112" s="450"/>
      <c r="S112" s="220"/>
      <c r="T112" s="221" t="s">
        <v>30</v>
      </c>
      <c r="U112" s="220"/>
      <c r="V112" s="450" t="str">
        <f t="shared" ref="V112:V116" si="57">IF(OR(U112="",U113=""),"",U112+U113)</f>
        <v/>
      </c>
      <c r="W112" s="450"/>
      <c r="X112" s="447" t="str">
        <f t="shared" ref="X112" si="58">IFERROR(VLOOKUP(AS112,$C$98:$N$100,3,0),"")&amp;IFERROR(VLOOKUP(AS112,$Q$98:$AB$100,3,0),"")&amp;IFERROR(VLOOKUP(AS112,$AE$98:$AP$100,3,0),"")</f>
        <v>みはらＳＣjr</v>
      </c>
      <c r="Y112" s="448"/>
      <c r="Z112" s="448"/>
      <c r="AA112" s="448"/>
      <c r="AB112" s="448"/>
      <c r="AC112" s="448"/>
      <c r="AD112" s="448"/>
      <c r="AE112" s="443"/>
      <c r="AF112" s="444"/>
      <c r="AG112" s="444"/>
      <c r="AH112" s="444"/>
      <c r="AI112" s="450" t="str">
        <f t="shared" ref="AI112" ca="1" si="59">DBCS(INDIRECT("U12対戦スケジュール!ｇ"&amp;(ROW()/2+35)))</f>
        <v>８／１／１／８</v>
      </c>
      <c r="AJ112" s="444"/>
      <c r="AK112" s="444"/>
      <c r="AL112" s="444"/>
      <c r="AM112" s="444"/>
      <c r="AN112" s="444"/>
      <c r="AO112" s="444"/>
      <c r="AP112" s="444"/>
      <c r="AR112" s="58">
        <v>9</v>
      </c>
      <c r="AS112" s="230">
        <v>2</v>
      </c>
      <c r="AT112" s="60"/>
      <c r="AU112" s="60"/>
      <c r="AV112" s="60"/>
      <c r="AW112" s="58"/>
      <c r="AX112" s="79"/>
      <c r="AY112" s="79"/>
      <c r="AZ112" s="79"/>
      <c r="BA112" s="61"/>
      <c r="BB112" s="78"/>
      <c r="BC112" s="78"/>
      <c r="BD112" s="78"/>
      <c r="BE112" s="78"/>
      <c r="BF112" s="78"/>
      <c r="BG112" s="78"/>
      <c r="BH112" s="61"/>
      <c r="BI112" s="61"/>
      <c r="BJ112" s="61"/>
      <c r="BK112" s="61"/>
      <c r="BL112" s="61"/>
      <c r="BM112" s="61"/>
      <c r="BN112" s="61"/>
      <c r="BO112" s="61"/>
      <c r="BP112" s="78"/>
      <c r="BQ112" s="78"/>
      <c r="BR112" s="78"/>
      <c r="BS112" s="78"/>
      <c r="BT112" s="78"/>
      <c r="BU112" s="78"/>
      <c r="BV112" s="58"/>
      <c r="BW112" s="79"/>
      <c r="BX112" s="79"/>
      <c r="BY112" s="79"/>
      <c r="BZ112" s="61"/>
      <c r="CA112" s="79"/>
      <c r="CB112" s="79"/>
      <c r="CC112" s="79"/>
      <c r="CD112" s="79"/>
      <c r="CE112" s="79"/>
      <c r="CF112" s="79"/>
      <c r="CG112" s="79"/>
      <c r="CH112" s="58"/>
    </row>
    <row r="113" spans="1:86" ht="20.100000000000001" customHeight="1" x14ac:dyDescent="0.4">
      <c r="B113" s="472"/>
      <c r="C113" s="449"/>
      <c r="D113" s="449"/>
      <c r="E113" s="449"/>
      <c r="F113" s="615"/>
      <c r="G113" s="615"/>
      <c r="H113" s="615"/>
      <c r="I113" s="615"/>
      <c r="J113" s="446"/>
      <c r="K113" s="446"/>
      <c r="L113" s="446"/>
      <c r="M113" s="446"/>
      <c r="N113" s="446"/>
      <c r="O113" s="446"/>
      <c r="P113" s="446"/>
      <c r="Q113" s="450"/>
      <c r="R113" s="450"/>
      <c r="S113" s="220"/>
      <c r="T113" s="221" t="s">
        <v>30</v>
      </c>
      <c r="U113" s="220"/>
      <c r="V113" s="450"/>
      <c r="W113" s="450"/>
      <c r="X113" s="448"/>
      <c r="Y113" s="448"/>
      <c r="Z113" s="448"/>
      <c r="AA113" s="448"/>
      <c r="AB113" s="448"/>
      <c r="AC113" s="448"/>
      <c r="AD113" s="448"/>
      <c r="AE113" s="444"/>
      <c r="AF113" s="444"/>
      <c r="AG113" s="444"/>
      <c r="AH113" s="444"/>
      <c r="AI113" s="444"/>
      <c r="AJ113" s="444"/>
      <c r="AK113" s="444"/>
      <c r="AL113" s="444"/>
      <c r="AM113" s="444"/>
      <c r="AN113" s="444"/>
      <c r="AO113" s="444"/>
      <c r="AP113" s="444"/>
      <c r="AR113" s="58"/>
      <c r="AS113" s="230"/>
      <c r="AT113" s="60"/>
      <c r="AU113" s="60"/>
      <c r="AV113" s="60"/>
      <c r="AW113" s="79"/>
      <c r="AX113" s="79"/>
      <c r="AY113" s="79"/>
      <c r="AZ113" s="79"/>
      <c r="BA113" s="78"/>
      <c r="BB113" s="78"/>
      <c r="BC113" s="78"/>
      <c r="BD113" s="78"/>
      <c r="BE113" s="78"/>
      <c r="BF113" s="78"/>
      <c r="BG113" s="78"/>
      <c r="BH113" s="61"/>
      <c r="BI113" s="61"/>
      <c r="BJ113" s="61"/>
      <c r="BK113" s="61"/>
      <c r="BL113" s="61"/>
      <c r="BM113" s="61"/>
      <c r="BN113" s="61"/>
      <c r="BO113" s="78"/>
      <c r="BP113" s="78"/>
      <c r="BQ113" s="78"/>
      <c r="BR113" s="78"/>
      <c r="BS113" s="78"/>
      <c r="BT113" s="78"/>
      <c r="BU113" s="78"/>
      <c r="BV113" s="79"/>
      <c r="BW113" s="79"/>
      <c r="BX113" s="79"/>
      <c r="BY113" s="79"/>
      <c r="BZ113" s="79"/>
      <c r="CA113" s="79"/>
      <c r="CB113" s="79"/>
      <c r="CC113" s="79"/>
      <c r="CD113" s="79"/>
      <c r="CE113" s="79"/>
      <c r="CF113" s="79"/>
      <c r="CG113" s="79"/>
      <c r="CH113" s="58"/>
    </row>
    <row r="114" spans="1:86" ht="20.100000000000001" customHeight="1" x14ac:dyDescent="0.4">
      <c r="B114" s="472">
        <v>5</v>
      </c>
      <c r="C114" s="449">
        <v>0.4861111111111111</v>
      </c>
      <c r="D114" s="449"/>
      <c r="E114" s="449"/>
      <c r="F114" s="443"/>
      <c r="G114" s="444"/>
      <c r="H114" s="444"/>
      <c r="I114" s="444"/>
      <c r="J114" s="445" t="str">
        <f t="shared" ref="J114" si="60">IFERROR(VLOOKUP(AR114,$C$98:$N$100,3,0),"")&amp;IFERROR(VLOOKUP(AR114,$Q$98:$AB$100,3,0),"")&amp;IFERROR(VLOOKUP(AR114,$AE$98:$AP$100,3,0),"")</f>
        <v>富士見ＳＳＳ</v>
      </c>
      <c r="K114" s="446"/>
      <c r="L114" s="446"/>
      <c r="M114" s="446"/>
      <c r="N114" s="446"/>
      <c r="O114" s="446"/>
      <c r="P114" s="446"/>
      <c r="Q114" s="450" t="str">
        <f t="shared" si="56"/>
        <v/>
      </c>
      <c r="R114" s="450"/>
      <c r="S114" s="220"/>
      <c r="T114" s="221" t="s">
        <v>30</v>
      </c>
      <c r="U114" s="220"/>
      <c r="V114" s="450" t="str">
        <f t="shared" si="57"/>
        <v/>
      </c>
      <c r="W114" s="450"/>
      <c r="X114" s="447" t="str">
        <f t="shared" ref="X114" si="61">IFERROR(VLOOKUP(AS114,$C$98:$N$100,3,0),"")&amp;IFERROR(VLOOKUP(AS114,$Q$98:$AB$100,3,0),"")&amp;IFERROR(VLOOKUP(AS114,$AE$98:$AP$100,3,0),"")</f>
        <v>上河内ＪＳＣ</v>
      </c>
      <c r="Y114" s="448"/>
      <c r="Z114" s="448"/>
      <c r="AA114" s="448"/>
      <c r="AB114" s="448"/>
      <c r="AC114" s="448"/>
      <c r="AD114" s="448"/>
      <c r="AE114" s="443"/>
      <c r="AF114" s="444"/>
      <c r="AG114" s="444"/>
      <c r="AH114" s="444"/>
      <c r="AI114" s="450" t="str">
        <f t="shared" ref="AI114" ca="1" si="62">DBCS(INDIRECT("U12対戦スケジュール!ｇ"&amp;(ROW()/2+35)))</f>
        <v>４／９／９／４</v>
      </c>
      <c r="AJ114" s="444"/>
      <c r="AK114" s="444"/>
      <c r="AL114" s="444"/>
      <c r="AM114" s="444"/>
      <c r="AN114" s="444"/>
      <c r="AO114" s="444"/>
      <c r="AP114" s="444"/>
      <c r="AR114" s="58">
        <v>6</v>
      </c>
      <c r="AS114" s="230">
        <v>8</v>
      </c>
      <c r="AT114" s="60"/>
      <c r="AU114" s="60"/>
      <c r="AV114" s="60"/>
      <c r="AW114" s="58"/>
      <c r="AX114" s="79"/>
      <c r="AY114" s="79"/>
      <c r="AZ114" s="79"/>
      <c r="BA114" s="61"/>
      <c r="BB114" s="78"/>
      <c r="BC114" s="78"/>
      <c r="BD114" s="78"/>
      <c r="BE114" s="78"/>
      <c r="BF114" s="78"/>
      <c r="BG114" s="78"/>
      <c r="BH114" s="61"/>
      <c r="BI114" s="61"/>
      <c r="BJ114" s="61"/>
      <c r="BK114" s="61"/>
      <c r="BL114" s="61"/>
      <c r="BM114" s="61"/>
      <c r="BN114" s="61"/>
      <c r="BO114" s="61"/>
      <c r="BP114" s="78"/>
      <c r="BQ114" s="78"/>
      <c r="BR114" s="78"/>
      <c r="BS114" s="78"/>
      <c r="BT114" s="78"/>
      <c r="BU114" s="78"/>
      <c r="BV114" s="58"/>
      <c r="BW114" s="79"/>
      <c r="BX114" s="79"/>
      <c r="BY114" s="79"/>
      <c r="BZ114" s="61"/>
      <c r="CA114" s="79"/>
      <c r="CB114" s="79"/>
      <c r="CC114" s="79"/>
      <c r="CD114" s="79"/>
      <c r="CE114" s="79"/>
      <c r="CF114" s="79"/>
      <c r="CG114" s="79"/>
      <c r="CH114" s="58"/>
    </row>
    <row r="115" spans="1:86" ht="20.100000000000001" customHeight="1" x14ac:dyDescent="0.4">
      <c r="B115" s="472"/>
      <c r="C115" s="449"/>
      <c r="D115" s="449"/>
      <c r="E115" s="449"/>
      <c r="F115" s="444"/>
      <c r="G115" s="444"/>
      <c r="H115" s="444"/>
      <c r="I115" s="444"/>
      <c r="J115" s="446"/>
      <c r="K115" s="446"/>
      <c r="L115" s="446"/>
      <c r="M115" s="446"/>
      <c r="N115" s="446"/>
      <c r="O115" s="446"/>
      <c r="P115" s="446"/>
      <c r="Q115" s="450"/>
      <c r="R115" s="450"/>
      <c r="S115" s="220"/>
      <c r="T115" s="221" t="s">
        <v>30</v>
      </c>
      <c r="U115" s="220"/>
      <c r="V115" s="450"/>
      <c r="W115" s="450"/>
      <c r="X115" s="448"/>
      <c r="Y115" s="448"/>
      <c r="Z115" s="448"/>
      <c r="AA115" s="448"/>
      <c r="AB115" s="448"/>
      <c r="AC115" s="448"/>
      <c r="AD115" s="448"/>
      <c r="AE115" s="444"/>
      <c r="AF115" s="444"/>
      <c r="AG115" s="444"/>
      <c r="AH115" s="444"/>
      <c r="AI115" s="444"/>
      <c r="AJ115" s="444"/>
      <c r="AK115" s="444"/>
      <c r="AL115" s="444"/>
      <c r="AM115" s="444"/>
      <c r="AN115" s="444"/>
      <c r="AO115" s="444"/>
      <c r="AP115" s="444"/>
      <c r="AR115" s="58"/>
      <c r="AS115" s="230"/>
      <c r="AT115" s="60"/>
      <c r="AU115" s="60"/>
      <c r="AV115" s="60"/>
      <c r="AW115" s="79"/>
      <c r="AX115" s="79"/>
      <c r="AY115" s="79"/>
      <c r="AZ115" s="79"/>
      <c r="BA115" s="78"/>
      <c r="BB115" s="78"/>
      <c r="BC115" s="78"/>
      <c r="BD115" s="78"/>
      <c r="BE115" s="78"/>
      <c r="BF115" s="78"/>
      <c r="BG115" s="78"/>
      <c r="BH115" s="61"/>
      <c r="BI115" s="61"/>
      <c r="BJ115" s="61"/>
      <c r="BK115" s="61"/>
      <c r="BL115" s="61"/>
      <c r="BM115" s="61"/>
      <c r="BN115" s="61"/>
      <c r="BO115" s="78"/>
      <c r="BP115" s="78"/>
      <c r="BQ115" s="78"/>
      <c r="BR115" s="78"/>
      <c r="BS115" s="78"/>
      <c r="BT115" s="78"/>
      <c r="BU115" s="78"/>
      <c r="BV115" s="79"/>
      <c r="BW115" s="79"/>
      <c r="BX115" s="79"/>
      <c r="BY115" s="79"/>
      <c r="BZ115" s="79"/>
      <c r="CA115" s="79"/>
      <c r="CB115" s="79"/>
      <c r="CC115" s="79"/>
      <c r="CD115" s="79"/>
      <c r="CE115" s="79"/>
      <c r="CF115" s="79"/>
      <c r="CG115" s="79"/>
      <c r="CH115" s="58"/>
    </row>
    <row r="116" spans="1:86" ht="20.100000000000001" customHeight="1" x14ac:dyDescent="0.4">
      <c r="B116" s="473">
        <v>6</v>
      </c>
      <c r="C116" s="449">
        <v>0.51388888888888895</v>
      </c>
      <c r="D116" s="449">
        <v>0.4375</v>
      </c>
      <c r="E116" s="449"/>
      <c r="F116" s="466"/>
      <c r="G116" s="464"/>
      <c r="H116" s="464"/>
      <c r="I116" s="464"/>
      <c r="J116" s="467" t="str">
        <f t="shared" ref="J116" si="63">IFERROR(VLOOKUP(AR116,$C$98:$N$100,3,0),"")&amp;IFERROR(VLOOKUP(AR116,$Q$98:$AB$100,3,0),"")&amp;IFERROR(VLOOKUP(AR116,$AE$98:$AP$100,3,0),"")</f>
        <v>カテット白沢ＳＳ</v>
      </c>
      <c r="K116" s="468"/>
      <c r="L116" s="468"/>
      <c r="M116" s="468"/>
      <c r="N116" s="468"/>
      <c r="O116" s="468"/>
      <c r="P116" s="468"/>
      <c r="Q116" s="463" t="str">
        <f t="shared" si="56"/>
        <v/>
      </c>
      <c r="R116" s="463"/>
      <c r="S116" s="225"/>
      <c r="T116" s="226" t="s">
        <v>30</v>
      </c>
      <c r="U116" s="225"/>
      <c r="V116" s="463" t="str">
        <f t="shared" si="57"/>
        <v/>
      </c>
      <c r="W116" s="463"/>
      <c r="X116" s="469" t="str">
        <f t="shared" ref="X116" si="64">IFERROR(VLOOKUP(AS116,$C$98:$N$100,3,0),"")&amp;IFERROR(VLOOKUP(AS116,$Q$98:$AB$100,3,0),"")&amp;IFERROR(VLOOKUP(AS116,$AE$98:$AP$100,3,0),"")</f>
        <v>ジュベニール</v>
      </c>
      <c r="Y116" s="470"/>
      <c r="Z116" s="470"/>
      <c r="AA116" s="470"/>
      <c r="AB116" s="470"/>
      <c r="AC116" s="470"/>
      <c r="AD116" s="470"/>
      <c r="AE116" s="466"/>
      <c r="AF116" s="464"/>
      <c r="AG116" s="464"/>
      <c r="AH116" s="464"/>
      <c r="AI116" s="450" t="str">
        <f t="shared" ref="AI116" ca="1" si="65">DBCS(INDIRECT("U12対戦スケジュール!ｇ"&amp;(ROW()/2+35)))</f>
        <v>６／８／８／６</v>
      </c>
      <c r="AJ116" s="444"/>
      <c r="AK116" s="444"/>
      <c r="AL116" s="444"/>
      <c r="AM116" s="444"/>
      <c r="AN116" s="444"/>
      <c r="AO116" s="444"/>
      <c r="AP116" s="444"/>
      <c r="AR116" s="58">
        <v>4</v>
      </c>
      <c r="AS116" s="230">
        <v>9</v>
      </c>
      <c r="AT116" s="60"/>
      <c r="AU116" s="60"/>
      <c r="AV116" s="60"/>
      <c r="AW116" s="58"/>
      <c r="AX116" s="79"/>
      <c r="AY116" s="79"/>
      <c r="AZ116" s="79"/>
      <c r="BA116" s="61"/>
      <c r="BB116" s="78"/>
      <c r="BC116" s="78"/>
      <c r="BD116" s="78"/>
      <c r="BE116" s="78"/>
      <c r="BF116" s="78"/>
      <c r="BG116" s="78"/>
      <c r="BH116" s="61"/>
      <c r="BI116" s="61"/>
      <c r="BJ116" s="61"/>
      <c r="BK116" s="61"/>
      <c r="BL116" s="61"/>
      <c r="BM116" s="61"/>
      <c r="BN116" s="61"/>
      <c r="BO116" s="61"/>
      <c r="BP116" s="78"/>
      <c r="BQ116" s="78"/>
      <c r="BR116" s="78"/>
      <c r="BS116" s="78"/>
      <c r="BT116" s="78"/>
      <c r="BU116" s="78"/>
      <c r="BV116" s="58"/>
      <c r="BW116" s="79"/>
      <c r="BX116" s="79"/>
      <c r="BY116" s="79"/>
      <c r="BZ116" s="61"/>
      <c r="CA116" s="79"/>
      <c r="CB116" s="79"/>
      <c r="CC116" s="79"/>
      <c r="CD116" s="79"/>
      <c r="CE116" s="79"/>
      <c r="CF116" s="79"/>
      <c r="CG116" s="79"/>
      <c r="CH116" s="58"/>
    </row>
    <row r="117" spans="1:86" ht="20.100000000000001" customHeight="1" x14ac:dyDescent="0.4">
      <c r="B117" s="473"/>
      <c r="C117" s="449"/>
      <c r="D117" s="449"/>
      <c r="E117" s="449"/>
      <c r="F117" s="464"/>
      <c r="G117" s="464"/>
      <c r="H117" s="464"/>
      <c r="I117" s="464"/>
      <c r="J117" s="468"/>
      <c r="K117" s="468"/>
      <c r="L117" s="468"/>
      <c r="M117" s="468"/>
      <c r="N117" s="468"/>
      <c r="O117" s="468"/>
      <c r="P117" s="468"/>
      <c r="Q117" s="463"/>
      <c r="R117" s="463"/>
      <c r="S117" s="225"/>
      <c r="T117" s="226" t="s">
        <v>30</v>
      </c>
      <c r="U117" s="225"/>
      <c r="V117" s="463"/>
      <c r="W117" s="463"/>
      <c r="X117" s="470"/>
      <c r="Y117" s="470"/>
      <c r="Z117" s="470"/>
      <c r="AA117" s="470"/>
      <c r="AB117" s="470"/>
      <c r="AC117" s="470"/>
      <c r="AD117" s="470"/>
      <c r="AE117" s="464"/>
      <c r="AF117" s="464"/>
      <c r="AG117" s="464"/>
      <c r="AH117" s="464"/>
      <c r="AI117" s="444"/>
      <c r="AJ117" s="444"/>
      <c r="AK117" s="444"/>
      <c r="AL117" s="444"/>
      <c r="AM117" s="444"/>
      <c r="AN117" s="444"/>
      <c r="AO117" s="444"/>
      <c r="AP117" s="444"/>
      <c r="AR117" s="58"/>
      <c r="AS117" s="59"/>
      <c r="AT117" s="60"/>
      <c r="AU117" s="60"/>
      <c r="AV117" s="60"/>
      <c r="AW117" s="79"/>
      <c r="AX117" s="79"/>
      <c r="AY117" s="79"/>
      <c r="AZ117" s="79"/>
      <c r="BA117" s="78"/>
      <c r="BB117" s="78"/>
      <c r="BC117" s="78"/>
      <c r="BD117" s="78"/>
      <c r="BE117" s="78"/>
      <c r="BF117" s="78"/>
      <c r="BG117" s="78"/>
      <c r="BH117" s="61"/>
      <c r="BI117" s="61"/>
      <c r="BJ117" s="61"/>
      <c r="BK117" s="61"/>
      <c r="BL117" s="61"/>
      <c r="BM117" s="61"/>
      <c r="BN117" s="61"/>
      <c r="BO117" s="78"/>
      <c r="BP117" s="78"/>
      <c r="BQ117" s="78"/>
      <c r="BR117" s="78"/>
      <c r="BS117" s="78"/>
      <c r="BT117" s="78"/>
      <c r="BU117" s="78"/>
      <c r="BV117" s="79"/>
      <c r="BW117" s="79"/>
      <c r="BX117" s="79"/>
      <c r="BY117" s="79"/>
      <c r="BZ117" s="79"/>
      <c r="CA117" s="79"/>
      <c r="CB117" s="79"/>
      <c r="CC117" s="79"/>
      <c r="CD117" s="79"/>
      <c r="CE117" s="79"/>
      <c r="CF117" s="79"/>
      <c r="CG117" s="79"/>
      <c r="CH117" s="58"/>
    </row>
    <row r="118" spans="1:86" ht="20.100000000000001" hidden="1" customHeight="1" x14ac:dyDescent="0.4">
      <c r="B118" s="606">
        <v>7</v>
      </c>
      <c r="C118" s="586">
        <v>0.58333333333333304</v>
      </c>
      <c r="D118" s="587">
        <v>0.4375</v>
      </c>
      <c r="E118" s="588"/>
      <c r="F118" s="592"/>
      <c r="G118" s="593"/>
      <c r="H118" s="593"/>
      <c r="I118" s="594"/>
      <c r="J118" s="554" t="str">
        <f>IFERROR(VLOOKUP(AR118,$C$98:$N$100,3,0),"")&amp;IFERROR(VLOOKUP(AR118,$Q$98:$AB$100,3,0),"")&amp;IFERROR(VLOOKUP(AR118,$AE$98:$AP$100,3,0),"")</f>
        <v/>
      </c>
      <c r="K118" s="598"/>
      <c r="L118" s="598"/>
      <c r="M118" s="598"/>
      <c r="N118" s="598"/>
      <c r="O118" s="598"/>
      <c r="P118" s="599"/>
      <c r="Q118" s="563" t="str">
        <f>IF(OR(S118="",S119=""),"",S118+S119)</f>
        <v/>
      </c>
      <c r="R118" s="564"/>
      <c r="S118" s="228"/>
      <c r="T118" s="229" t="s">
        <v>30</v>
      </c>
      <c r="U118" s="228"/>
      <c r="V118" s="563" t="str">
        <f>IF(OR(U118="",U119=""),"",U118+U119)</f>
        <v/>
      </c>
      <c r="W118" s="564"/>
      <c r="X118" s="559" t="str">
        <f>IFERROR(VLOOKUP(AS118,$C$98:$N$100,3,0),"")&amp;IFERROR(VLOOKUP(AS118,$Q$98:$AB$100,3,0),"")&amp;IFERROR(VLOOKUP(AS118,$AE$98:$AP$100,3,0),"")</f>
        <v/>
      </c>
      <c r="Y118" s="598"/>
      <c r="Z118" s="598"/>
      <c r="AA118" s="598"/>
      <c r="AB118" s="598"/>
      <c r="AC118" s="598"/>
      <c r="AD118" s="602"/>
      <c r="AE118" s="592"/>
      <c r="AF118" s="593"/>
      <c r="AG118" s="593"/>
      <c r="AH118" s="594"/>
      <c r="AI118" s="567" t="str">
        <f ca="1">DBCS(INDIRECT("U12対戦スケジュール!c"&amp;(ROW()/2+32)))</f>
        <v>８／１／１／８</v>
      </c>
      <c r="AJ118" s="581"/>
      <c r="AK118" s="581"/>
      <c r="AL118" s="581"/>
      <c r="AM118" s="581"/>
      <c r="AN118" s="581"/>
      <c r="AO118" s="581"/>
      <c r="AP118" s="582"/>
      <c r="AR118" s="58"/>
      <c r="AS118" s="59"/>
      <c r="AT118" s="60"/>
      <c r="AU118" s="60"/>
      <c r="AV118" s="60"/>
      <c r="AW118" s="58"/>
      <c r="AX118" s="79"/>
      <c r="AY118" s="79"/>
      <c r="AZ118" s="79"/>
      <c r="BA118" s="61"/>
      <c r="BB118" s="78"/>
      <c r="BC118" s="139"/>
      <c r="BD118" s="139"/>
      <c r="BE118" s="139"/>
      <c r="BF118" s="139"/>
      <c r="BG118" s="139"/>
      <c r="BH118" s="59"/>
      <c r="BI118" s="59"/>
      <c r="BJ118" s="61"/>
      <c r="BK118" s="61"/>
      <c r="BL118" s="61"/>
      <c r="BM118" s="61"/>
      <c r="BN118" s="61"/>
      <c r="BO118" s="61"/>
      <c r="BP118" s="78"/>
      <c r="BQ118" s="139"/>
      <c r="BR118" s="139"/>
      <c r="BS118" s="139"/>
      <c r="BT118" s="139"/>
      <c r="BU118" s="139"/>
      <c r="BV118" s="140"/>
      <c r="BW118" s="141"/>
      <c r="BX118" s="79"/>
      <c r="BY118" s="79"/>
      <c r="BZ118" s="61"/>
      <c r="CA118" s="79"/>
      <c r="CB118" s="79"/>
      <c r="CC118" s="79"/>
      <c r="CD118" s="79"/>
      <c r="CE118" s="79"/>
      <c r="CF118" s="79"/>
      <c r="CG118" s="79"/>
      <c r="CH118" s="58"/>
    </row>
    <row r="119" spans="1:86" ht="20.100000000000001" hidden="1" customHeight="1" thickBot="1" x14ac:dyDescent="0.45">
      <c r="B119" s="607"/>
      <c r="C119" s="589"/>
      <c r="D119" s="590"/>
      <c r="E119" s="591"/>
      <c r="F119" s="595"/>
      <c r="G119" s="596"/>
      <c r="H119" s="596"/>
      <c r="I119" s="597"/>
      <c r="J119" s="600"/>
      <c r="K119" s="600"/>
      <c r="L119" s="600"/>
      <c r="M119" s="600"/>
      <c r="N119" s="600"/>
      <c r="O119" s="600"/>
      <c r="P119" s="601"/>
      <c r="Q119" s="565"/>
      <c r="R119" s="566"/>
      <c r="S119" s="67"/>
      <c r="T119" s="131" t="s">
        <v>30</v>
      </c>
      <c r="U119" s="67"/>
      <c r="V119" s="565"/>
      <c r="W119" s="566"/>
      <c r="X119" s="603"/>
      <c r="Y119" s="600"/>
      <c r="Z119" s="600"/>
      <c r="AA119" s="600"/>
      <c r="AB119" s="600"/>
      <c r="AC119" s="600"/>
      <c r="AD119" s="604"/>
      <c r="AE119" s="595"/>
      <c r="AF119" s="596"/>
      <c r="AG119" s="596"/>
      <c r="AH119" s="597"/>
      <c r="AI119" s="583"/>
      <c r="AJ119" s="584"/>
      <c r="AK119" s="584"/>
      <c r="AL119" s="584"/>
      <c r="AM119" s="584"/>
      <c r="AN119" s="584"/>
      <c r="AO119" s="584"/>
      <c r="AP119" s="585"/>
      <c r="AR119" s="58"/>
      <c r="AS119" s="59"/>
      <c r="AT119" s="60"/>
      <c r="AU119" s="60"/>
      <c r="AV119" s="60"/>
      <c r="AW119" s="79"/>
      <c r="AX119" s="79"/>
      <c r="AY119" s="79"/>
      <c r="AZ119" s="79"/>
      <c r="BA119" s="78"/>
      <c r="BB119" s="78"/>
      <c r="BC119" s="139"/>
      <c r="BD119" s="139"/>
      <c r="BE119" s="139"/>
      <c r="BF119" s="139"/>
      <c r="BG119" s="139"/>
      <c r="BH119" s="59"/>
      <c r="BI119" s="59"/>
      <c r="BJ119" s="61"/>
      <c r="BK119" s="61"/>
      <c r="BL119" s="61"/>
      <c r="BM119" s="61"/>
      <c r="BN119" s="61"/>
      <c r="BO119" s="78"/>
      <c r="BP119" s="78"/>
      <c r="BQ119" s="139"/>
      <c r="BR119" s="139"/>
      <c r="BS119" s="139"/>
      <c r="BT119" s="139"/>
      <c r="BU119" s="139"/>
      <c r="BV119" s="141"/>
      <c r="BW119" s="141"/>
      <c r="BX119" s="79"/>
      <c r="BY119" s="79"/>
      <c r="BZ119" s="79"/>
      <c r="CA119" s="79"/>
      <c r="CB119" s="79"/>
      <c r="CC119" s="79"/>
      <c r="CD119" s="79"/>
      <c r="CE119" s="79"/>
      <c r="CF119" s="79"/>
      <c r="CG119" s="79"/>
      <c r="CH119" s="58"/>
    </row>
    <row r="120" spans="1:86" s="55" customFormat="1" ht="15.75" customHeight="1" x14ac:dyDescent="0.4">
      <c r="A120" s="58"/>
      <c r="B120" s="59"/>
      <c r="C120" s="60"/>
      <c r="D120" s="60"/>
      <c r="E120" s="60"/>
      <c r="F120" s="59"/>
      <c r="G120" s="59"/>
      <c r="H120" s="59"/>
      <c r="I120" s="59"/>
      <c r="J120" s="59"/>
      <c r="K120" s="61"/>
      <c r="L120" s="61"/>
      <c r="M120" s="62"/>
      <c r="N120" s="63"/>
      <c r="O120" s="62"/>
      <c r="P120" s="61"/>
      <c r="Q120" s="61"/>
      <c r="R120" s="59"/>
      <c r="S120" s="59"/>
      <c r="T120" s="59"/>
      <c r="U120" s="59"/>
      <c r="V120" s="59"/>
      <c r="W120" s="66"/>
      <c r="X120" s="66"/>
      <c r="Y120" s="66"/>
      <c r="Z120" s="66"/>
      <c r="AA120" s="66"/>
      <c r="AB120" s="66"/>
      <c r="AC120" s="58"/>
      <c r="AR120" s="58"/>
      <c r="AS120" s="59"/>
      <c r="AT120" s="60"/>
      <c r="AU120" s="60"/>
      <c r="AV120" s="60"/>
      <c r="AW120" s="59"/>
      <c r="AX120" s="59"/>
      <c r="AY120" s="59"/>
      <c r="AZ120" s="59"/>
      <c r="BA120" s="59"/>
      <c r="BB120" s="61"/>
      <c r="BC120" s="61"/>
      <c r="BD120" s="62"/>
      <c r="BE120" s="63"/>
      <c r="BF120" s="62"/>
      <c r="BG120" s="61"/>
      <c r="BH120" s="61"/>
      <c r="BI120" s="59"/>
      <c r="BJ120" s="59"/>
      <c r="BK120" s="59"/>
      <c r="BL120" s="59"/>
      <c r="BM120" s="59"/>
      <c r="BN120" s="66"/>
      <c r="BO120" s="66"/>
      <c r="BP120" s="66"/>
      <c r="BQ120" s="66"/>
      <c r="BR120" s="66"/>
      <c r="BS120" s="66"/>
      <c r="BT120" s="58"/>
      <c r="BU120" s="58"/>
      <c r="BV120" s="58"/>
      <c r="BW120" s="58"/>
      <c r="BX120" s="58"/>
      <c r="BY120" s="58"/>
      <c r="BZ120" s="58"/>
      <c r="CA120" s="58"/>
      <c r="CB120" s="58"/>
      <c r="CC120" s="58"/>
      <c r="CD120" s="58"/>
      <c r="CE120" s="58"/>
      <c r="CF120" s="58"/>
      <c r="CG120" s="58"/>
      <c r="CH120" s="58"/>
    </row>
    <row r="121" spans="1:86" ht="20.25" customHeight="1" x14ac:dyDescent="0.4">
      <c r="D121" s="477" t="s">
        <v>31</v>
      </c>
      <c r="E121" s="477"/>
      <c r="F121" s="477"/>
      <c r="G121" s="477"/>
      <c r="H121" s="477"/>
      <c r="I121" s="477"/>
      <c r="J121" s="477" t="s">
        <v>27</v>
      </c>
      <c r="K121" s="477"/>
      <c r="L121" s="477"/>
      <c r="M121" s="477"/>
      <c r="N121" s="477"/>
      <c r="O121" s="477"/>
      <c r="P121" s="477"/>
      <c r="Q121" s="477"/>
      <c r="R121" s="478" t="s">
        <v>32</v>
      </c>
      <c r="S121" s="478"/>
      <c r="T121" s="478"/>
      <c r="U121" s="478"/>
      <c r="V121" s="478"/>
      <c r="W121" s="478"/>
      <c r="X121" s="478"/>
      <c r="Y121" s="478"/>
      <c r="Z121" s="478"/>
      <c r="AA121" s="479" t="s">
        <v>33</v>
      </c>
      <c r="AB121" s="479"/>
      <c r="AC121" s="479"/>
      <c r="AD121" s="479" t="s">
        <v>34</v>
      </c>
      <c r="AE121" s="479"/>
      <c r="AF121" s="479"/>
      <c r="AG121" s="479"/>
      <c r="AH121" s="479"/>
      <c r="AI121" s="479"/>
      <c r="AJ121" s="479"/>
      <c r="AK121" s="479"/>
      <c r="AL121" s="479"/>
      <c r="AM121" s="479"/>
      <c r="AR121" s="58"/>
      <c r="AS121" s="58"/>
      <c r="AT121" s="58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61"/>
      <c r="BJ121" s="61"/>
      <c r="BK121" s="61"/>
      <c r="BL121" s="61"/>
      <c r="BM121" s="61"/>
      <c r="BN121" s="61"/>
      <c r="BO121" s="61"/>
      <c r="BP121" s="61"/>
      <c r="BQ121" s="61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58"/>
      <c r="CF121" s="58"/>
      <c r="CG121" s="58"/>
      <c r="CH121" s="58"/>
    </row>
    <row r="122" spans="1:86" ht="30" customHeight="1" x14ac:dyDescent="0.4">
      <c r="D122" s="477" t="s">
        <v>35</v>
      </c>
      <c r="E122" s="477"/>
      <c r="F122" s="477"/>
      <c r="G122" s="477"/>
      <c r="H122" s="477"/>
      <c r="I122" s="477"/>
      <c r="J122" s="477"/>
      <c r="K122" s="477"/>
      <c r="L122" s="477"/>
      <c r="M122" s="477"/>
      <c r="N122" s="477"/>
      <c r="O122" s="477"/>
      <c r="P122" s="477"/>
      <c r="Q122" s="477"/>
      <c r="R122" s="478"/>
      <c r="S122" s="478"/>
      <c r="T122" s="478"/>
      <c r="U122" s="478"/>
      <c r="V122" s="478"/>
      <c r="W122" s="478"/>
      <c r="X122" s="478"/>
      <c r="Y122" s="478"/>
      <c r="Z122" s="478"/>
      <c r="AA122" s="481"/>
      <c r="AB122" s="481"/>
      <c r="AC122" s="481"/>
      <c r="AD122" s="480"/>
      <c r="AE122" s="480"/>
      <c r="AF122" s="480"/>
      <c r="AG122" s="480"/>
      <c r="AH122" s="480"/>
      <c r="AI122" s="480"/>
      <c r="AJ122" s="480"/>
      <c r="AK122" s="480"/>
      <c r="AL122" s="480"/>
      <c r="AM122" s="480"/>
      <c r="AR122" s="58"/>
      <c r="AS122" s="58"/>
      <c r="AT122" s="58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61"/>
      <c r="BJ122" s="61"/>
      <c r="BK122" s="61"/>
      <c r="BL122" s="61"/>
      <c r="BM122" s="61"/>
      <c r="BN122" s="61"/>
      <c r="BO122" s="61"/>
      <c r="BP122" s="61"/>
      <c r="BQ122" s="61"/>
      <c r="BR122" s="81"/>
      <c r="BS122" s="81"/>
      <c r="BT122" s="81"/>
      <c r="BU122" s="84"/>
      <c r="BV122" s="84"/>
      <c r="BW122" s="84"/>
      <c r="BX122" s="84"/>
      <c r="BY122" s="84"/>
      <c r="BZ122" s="84"/>
      <c r="CA122" s="84"/>
      <c r="CB122" s="84"/>
      <c r="CC122" s="84"/>
      <c r="CD122" s="84"/>
      <c r="CE122" s="58"/>
      <c r="CF122" s="58"/>
      <c r="CG122" s="58"/>
      <c r="CH122" s="58"/>
    </row>
    <row r="123" spans="1:86" ht="30" customHeight="1" x14ac:dyDescent="0.4">
      <c r="D123" s="477" t="s">
        <v>35</v>
      </c>
      <c r="E123" s="477"/>
      <c r="F123" s="477"/>
      <c r="G123" s="477"/>
      <c r="H123" s="477"/>
      <c r="I123" s="477"/>
      <c r="J123" s="477"/>
      <c r="K123" s="477"/>
      <c r="L123" s="477"/>
      <c r="M123" s="477"/>
      <c r="N123" s="477"/>
      <c r="O123" s="477"/>
      <c r="P123" s="477"/>
      <c r="Q123" s="477"/>
      <c r="R123" s="478"/>
      <c r="S123" s="478"/>
      <c r="T123" s="478"/>
      <c r="U123" s="478"/>
      <c r="V123" s="478"/>
      <c r="W123" s="478"/>
      <c r="X123" s="478"/>
      <c r="Y123" s="478"/>
      <c r="Z123" s="478"/>
      <c r="AA123" s="479"/>
      <c r="AB123" s="479"/>
      <c r="AC123" s="479"/>
      <c r="AD123" s="480"/>
      <c r="AE123" s="480"/>
      <c r="AF123" s="480"/>
      <c r="AG123" s="480"/>
      <c r="AH123" s="480"/>
      <c r="AI123" s="480"/>
      <c r="AJ123" s="480"/>
      <c r="AK123" s="480"/>
      <c r="AL123" s="480"/>
      <c r="AM123" s="480"/>
      <c r="AR123" s="58"/>
      <c r="AS123" s="58"/>
      <c r="AT123" s="58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61"/>
      <c r="BJ123" s="61"/>
      <c r="BK123" s="61"/>
      <c r="BL123" s="61"/>
      <c r="BM123" s="61"/>
      <c r="BN123" s="61"/>
      <c r="BO123" s="61"/>
      <c r="BP123" s="61"/>
      <c r="BQ123" s="61"/>
      <c r="BR123" s="63"/>
      <c r="BS123" s="63"/>
      <c r="BT123" s="63"/>
      <c r="BU123" s="83"/>
      <c r="BV123" s="83"/>
      <c r="BW123" s="83"/>
      <c r="BX123" s="83"/>
      <c r="BY123" s="83"/>
      <c r="BZ123" s="83"/>
      <c r="CA123" s="83"/>
      <c r="CB123" s="83"/>
      <c r="CC123" s="83"/>
      <c r="CD123" s="83"/>
      <c r="CE123" s="58"/>
      <c r="CF123" s="58"/>
      <c r="CG123" s="58"/>
      <c r="CH123" s="58"/>
    </row>
    <row r="124" spans="1:86" ht="30" customHeight="1" x14ac:dyDescent="0.4">
      <c r="D124" s="477" t="s">
        <v>35</v>
      </c>
      <c r="E124" s="477"/>
      <c r="F124" s="477"/>
      <c r="G124" s="477"/>
      <c r="H124" s="477"/>
      <c r="I124" s="477"/>
      <c r="J124" s="477"/>
      <c r="K124" s="477"/>
      <c r="L124" s="477"/>
      <c r="M124" s="477"/>
      <c r="N124" s="477"/>
      <c r="O124" s="477"/>
      <c r="P124" s="477"/>
      <c r="Q124" s="477"/>
      <c r="R124" s="478"/>
      <c r="S124" s="478"/>
      <c r="T124" s="478"/>
      <c r="U124" s="478"/>
      <c r="V124" s="478"/>
      <c r="W124" s="478"/>
      <c r="X124" s="478"/>
      <c r="Y124" s="478"/>
      <c r="Z124" s="478"/>
      <c r="AA124" s="479"/>
      <c r="AB124" s="479"/>
      <c r="AC124" s="479"/>
      <c r="AD124" s="480"/>
      <c r="AE124" s="480"/>
      <c r="AF124" s="480"/>
      <c r="AG124" s="480"/>
      <c r="AH124" s="480"/>
      <c r="AI124" s="480"/>
      <c r="AJ124" s="480"/>
      <c r="AK124" s="480"/>
      <c r="AL124" s="480"/>
      <c r="AM124" s="480"/>
      <c r="AR124" s="58"/>
      <c r="AS124" s="58"/>
      <c r="AT124" s="58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61"/>
      <c r="BJ124" s="61"/>
      <c r="BK124" s="61"/>
      <c r="BL124" s="61"/>
      <c r="BM124" s="61"/>
      <c r="BN124" s="61"/>
      <c r="BO124" s="61"/>
      <c r="BP124" s="61"/>
      <c r="BQ124" s="61"/>
      <c r="BR124" s="63"/>
      <c r="BS124" s="63"/>
      <c r="BT124" s="63"/>
      <c r="BU124" s="83"/>
      <c r="BV124" s="83"/>
      <c r="BW124" s="83"/>
      <c r="BX124" s="83"/>
      <c r="BY124" s="83"/>
      <c r="BZ124" s="83"/>
      <c r="CA124" s="83"/>
      <c r="CB124" s="83"/>
      <c r="CC124" s="83"/>
      <c r="CD124" s="83"/>
      <c r="CE124" s="58"/>
      <c r="CF124" s="58"/>
      <c r="CG124" s="58"/>
      <c r="CH124" s="58"/>
    </row>
  </sheetData>
  <mergeCells count="536">
    <mergeCell ref="C3:F3"/>
    <mergeCell ref="G3:O3"/>
    <mergeCell ref="P3:S3"/>
    <mergeCell ref="T3:AB3"/>
    <mergeCell ref="AC3:AF3"/>
    <mergeCell ref="AG3:AL3"/>
    <mergeCell ref="AM3:AO3"/>
    <mergeCell ref="C5:D5"/>
    <mergeCell ref="E5:N5"/>
    <mergeCell ref="Q5:R5"/>
    <mergeCell ref="S5:AB5"/>
    <mergeCell ref="AE5:AF5"/>
    <mergeCell ref="AG5:AP5"/>
    <mergeCell ref="C6:D6"/>
    <mergeCell ref="E6:N6"/>
    <mergeCell ref="Q6:R6"/>
    <mergeCell ref="S6:AB6"/>
    <mergeCell ref="AE6:AF6"/>
    <mergeCell ref="AG6:AP6"/>
    <mergeCell ref="C7:D7"/>
    <mergeCell ref="E7:N7"/>
    <mergeCell ref="Q7:R7"/>
    <mergeCell ref="S7:AB7"/>
    <mergeCell ref="AE7:AF7"/>
    <mergeCell ref="AG7:AP7"/>
    <mergeCell ref="Q12:W12"/>
    <mergeCell ref="X12:AD12"/>
    <mergeCell ref="AE12:AH12"/>
    <mergeCell ref="AI12:AP12"/>
    <mergeCell ref="C8:D8"/>
    <mergeCell ref="E8:N8"/>
    <mergeCell ref="Q8:R8"/>
    <mergeCell ref="S8:AB8"/>
    <mergeCell ref="AE8:AF8"/>
    <mergeCell ref="AG8:AP8"/>
    <mergeCell ref="C9:D9"/>
    <mergeCell ref="E9:N9"/>
    <mergeCell ref="Q9:R9"/>
    <mergeCell ref="S9:AB9"/>
    <mergeCell ref="AE9:AF9"/>
    <mergeCell ref="AG9:AP9"/>
    <mergeCell ref="D28:I28"/>
    <mergeCell ref="J28:Q28"/>
    <mergeCell ref="R28:Z28"/>
    <mergeCell ref="AA28:AC28"/>
    <mergeCell ref="AD28:AM28"/>
    <mergeCell ref="D29:I29"/>
    <mergeCell ref="J29:Q29"/>
    <mergeCell ref="R29:Z29"/>
    <mergeCell ref="AA29:AC29"/>
    <mergeCell ref="AD29:AM29"/>
    <mergeCell ref="D30:I30"/>
    <mergeCell ref="J30:Q30"/>
    <mergeCell ref="R30:Z30"/>
    <mergeCell ref="AA30:AC30"/>
    <mergeCell ref="AD30:AM30"/>
    <mergeCell ref="D31:I31"/>
    <mergeCell ref="J31:Q31"/>
    <mergeCell ref="R31:Z31"/>
    <mergeCell ref="AA31:AC31"/>
    <mergeCell ref="AD31:AM31"/>
    <mergeCell ref="C34:F34"/>
    <mergeCell ref="G34:O34"/>
    <mergeCell ref="P34:S34"/>
    <mergeCell ref="T34:AB34"/>
    <mergeCell ref="AC34:AF34"/>
    <mergeCell ref="AG34:AL34"/>
    <mergeCell ref="AM34:AO34"/>
    <mergeCell ref="C36:D36"/>
    <mergeCell ref="E36:N36"/>
    <mergeCell ref="Q36:R36"/>
    <mergeCell ref="S36:AB36"/>
    <mergeCell ref="AE36:AF36"/>
    <mergeCell ref="AG36:AP36"/>
    <mergeCell ref="C37:D37"/>
    <mergeCell ref="E37:N37"/>
    <mergeCell ref="Q37:R37"/>
    <mergeCell ref="S37:AB37"/>
    <mergeCell ref="AE37:AF37"/>
    <mergeCell ref="AG37:AP37"/>
    <mergeCell ref="C38:D38"/>
    <mergeCell ref="E38:N38"/>
    <mergeCell ref="Q38:R38"/>
    <mergeCell ref="S38:AB38"/>
    <mergeCell ref="AE38:AF38"/>
    <mergeCell ref="AG38:AP38"/>
    <mergeCell ref="C39:D39"/>
    <mergeCell ref="E39:N39"/>
    <mergeCell ref="Q39:R39"/>
    <mergeCell ref="S39:AB39"/>
    <mergeCell ref="AE39:AF39"/>
    <mergeCell ref="AG39:AP39"/>
    <mergeCell ref="C40:D40"/>
    <mergeCell ref="E40:N40"/>
    <mergeCell ref="Q40:R40"/>
    <mergeCell ref="S40:AB40"/>
    <mergeCell ref="AE40:AF40"/>
    <mergeCell ref="AG40:AP40"/>
    <mergeCell ref="C41:D41"/>
    <mergeCell ref="E41:N41"/>
    <mergeCell ref="Q41:R41"/>
    <mergeCell ref="S41:AB41"/>
    <mergeCell ref="AE41:AF41"/>
    <mergeCell ref="AG41:AP41"/>
    <mergeCell ref="C43:E43"/>
    <mergeCell ref="F43:I43"/>
    <mergeCell ref="J43:P43"/>
    <mergeCell ref="Q43:W43"/>
    <mergeCell ref="X43:AD43"/>
    <mergeCell ref="AE43:AH43"/>
    <mergeCell ref="AI43:AP43"/>
    <mergeCell ref="D59:I59"/>
    <mergeCell ref="J59:Q59"/>
    <mergeCell ref="R59:Z59"/>
    <mergeCell ref="AA59:AC59"/>
    <mergeCell ref="AD59:AM59"/>
    <mergeCell ref="D60:I60"/>
    <mergeCell ref="J60:Q60"/>
    <mergeCell ref="R60:Z60"/>
    <mergeCell ref="AA60:AC60"/>
    <mergeCell ref="AD60:AM60"/>
    <mergeCell ref="D61:I61"/>
    <mergeCell ref="J61:Q61"/>
    <mergeCell ref="R61:Z61"/>
    <mergeCell ref="AA61:AC61"/>
    <mergeCell ref="AD61:AM61"/>
    <mergeCell ref="D62:I62"/>
    <mergeCell ref="J62:Q62"/>
    <mergeCell ref="R62:Z62"/>
    <mergeCell ref="AA62:AC62"/>
    <mergeCell ref="AD62:AM62"/>
    <mergeCell ref="C65:F65"/>
    <mergeCell ref="G65:O65"/>
    <mergeCell ref="P65:S65"/>
    <mergeCell ref="T65:AB65"/>
    <mergeCell ref="AC65:AF65"/>
    <mergeCell ref="AG65:AL65"/>
    <mergeCell ref="AM65:AO65"/>
    <mergeCell ref="C67:D67"/>
    <mergeCell ref="E67:N67"/>
    <mergeCell ref="Q67:R67"/>
    <mergeCell ref="S67:AB67"/>
    <mergeCell ref="AE67:AF67"/>
    <mergeCell ref="AG67:AP67"/>
    <mergeCell ref="C68:D68"/>
    <mergeCell ref="E68:N68"/>
    <mergeCell ref="Q68:R68"/>
    <mergeCell ref="S68:AB68"/>
    <mergeCell ref="AE68:AF68"/>
    <mergeCell ref="AG68:AP68"/>
    <mergeCell ref="C69:D69"/>
    <mergeCell ref="E69:N69"/>
    <mergeCell ref="Q69:R69"/>
    <mergeCell ref="S69:AB69"/>
    <mergeCell ref="AE69:AF69"/>
    <mergeCell ref="AG69:AP69"/>
    <mergeCell ref="C70:D70"/>
    <mergeCell ref="E70:N70"/>
    <mergeCell ref="Q70:R70"/>
    <mergeCell ref="S70:AB70"/>
    <mergeCell ref="AE70:AF70"/>
    <mergeCell ref="AG70:AP70"/>
    <mergeCell ref="C71:D71"/>
    <mergeCell ref="E71:N71"/>
    <mergeCell ref="Q71:R71"/>
    <mergeCell ref="S71:AB71"/>
    <mergeCell ref="AE71:AF71"/>
    <mergeCell ref="AG71:AP71"/>
    <mergeCell ref="E72:N72"/>
    <mergeCell ref="Q72:R72"/>
    <mergeCell ref="S72:AB72"/>
    <mergeCell ref="AE72:AF72"/>
    <mergeCell ref="AG72:AP72"/>
    <mergeCell ref="C74:E74"/>
    <mergeCell ref="F74:I74"/>
    <mergeCell ref="J74:P74"/>
    <mergeCell ref="Q74:W74"/>
    <mergeCell ref="X74:AD74"/>
    <mergeCell ref="AE74:AH74"/>
    <mergeCell ref="AI74:AP74"/>
    <mergeCell ref="AA92:AC92"/>
    <mergeCell ref="AD92:AM92"/>
    <mergeCell ref="D93:I93"/>
    <mergeCell ref="J93:Q93"/>
    <mergeCell ref="R93:Z93"/>
    <mergeCell ref="AA93:AC93"/>
    <mergeCell ref="AD93:AM93"/>
    <mergeCell ref="D90:I90"/>
    <mergeCell ref="J90:Q90"/>
    <mergeCell ref="R90:Z90"/>
    <mergeCell ref="AA90:AC90"/>
    <mergeCell ref="AD90:AM90"/>
    <mergeCell ref="D91:I91"/>
    <mergeCell ref="J91:Q91"/>
    <mergeCell ref="R91:Z91"/>
    <mergeCell ref="AA91:AC91"/>
    <mergeCell ref="AD91:AM91"/>
    <mergeCell ref="T96:AB96"/>
    <mergeCell ref="AC96:AF96"/>
    <mergeCell ref="AG96:AL96"/>
    <mergeCell ref="AM96:AO96"/>
    <mergeCell ref="C98:D98"/>
    <mergeCell ref="E98:N98"/>
    <mergeCell ref="Q98:R98"/>
    <mergeCell ref="S98:AB98"/>
    <mergeCell ref="AE98:AF98"/>
    <mergeCell ref="AG98:AP98"/>
    <mergeCell ref="S99:AB99"/>
    <mergeCell ref="AE99:AF99"/>
    <mergeCell ref="AG99:AP99"/>
    <mergeCell ref="C100:D100"/>
    <mergeCell ref="E100:N100"/>
    <mergeCell ref="Q100:R100"/>
    <mergeCell ref="S100:AB100"/>
    <mergeCell ref="AE100:AF100"/>
    <mergeCell ref="AG100:AP100"/>
    <mergeCell ref="S101:AB101"/>
    <mergeCell ref="AE101:AF101"/>
    <mergeCell ref="AG101:AP101"/>
    <mergeCell ref="C102:D102"/>
    <mergeCell ref="E102:N102"/>
    <mergeCell ref="Q102:R102"/>
    <mergeCell ref="S102:AB102"/>
    <mergeCell ref="AE102:AF102"/>
    <mergeCell ref="AG102:AP102"/>
    <mergeCell ref="S103:AB103"/>
    <mergeCell ref="AE103:AF103"/>
    <mergeCell ref="AG103:AP103"/>
    <mergeCell ref="C105:E105"/>
    <mergeCell ref="F105:I105"/>
    <mergeCell ref="J105:P105"/>
    <mergeCell ref="Q105:W105"/>
    <mergeCell ref="X105:AD105"/>
    <mergeCell ref="AE105:AH105"/>
    <mergeCell ref="AI105:AP105"/>
    <mergeCell ref="R123:Z123"/>
    <mergeCell ref="AA123:AC123"/>
    <mergeCell ref="AD123:AM123"/>
    <mergeCell ref="D124:I124"/>
    <mergeCell ref="J124:Q124"/>
    <mergeCell ref="R124:Z124"/>
    <mergeCell ref="AA124:AC124"/>
    <mergeCell ref="AD124:AM124"/>
    <mergeCell ref="D121:I121"/>
    <mergeCell ref="J121:Q121"/>
    <mergeCell ref="R121:Z121"/>
    <mergeCell ref="AA121:AC121"/>
    <mergeCell ref="AD121:AM121"/>
    <mergeCell ref="D122:I122"/>
    <mergeCell ref="J122:Q122"/>
    <mergeCell ref="R122:Z122"/>
    <mergeCell ref="AA122:AC122"/>
    <mergeCell ref="AD122:AM122"/>
    <mergeCell ref="B17:B18"/>
    <mergeCell ref="B19:B20"/>
    <mergeCell ref="B21:B22"/>
    <mergeCell ref="B23:B24"/>
    <mergeCell ref="B25:B26"/>
    <mergeCell ref="B44:B45"/>
    <mergeCell ref="B46:B47"/>
    <mergeCell ref="D123:I123"/>
    <mergeCell ref="J123:Q123"/>
    <mergeCell ref="C103:D103"/>
    <mergeCell ref="E103:N103"/>
    <mergeCell ref="Q103:R103"/>
    <mergeCell ref="C101:D101"/>
    <mergeCell ref="E101:N101"/>
    <mergeCell ref="Q101:R101"/>
    <mergeCell ref="C99:D99"/>
    <mergeCell ref="E99:N99"/>
    <mergeCell ref="Q99:R99"/>
    <mergeCell ref="C96:F96"/>
    <mergeCell ref="G96:O96"/>
    <mergeCell ref="P96:S96"/>
    <mergeCell ref="D92:I92"/>
    <mergeCell ref="J92:Q92"/>
    <mergeCell ref="R92:Z92"/>
    <mergeCell ref="B116:B117"/>
    <mergeCell ref="B48:B49"/>
    <mergeCell ref="B50:B51"/>
    <mergeCell ref="B52:B53"/>
    <mergeCell ref="B54:B55"/>
    <mergeCell ref="B56:B57"/>
    <mergeCell ref="B75:B76"/>
    <mergeCell ref="B77:B78"/>
    <mergeCell ref="B79:B80"/>
    <mergeCell ref="B81:B82"/>
    <mergeCell ref="F112:I113"/>
    <mergeCell ref="B83:B84"/>
    <mergeCell ref="B85:B86"/>
    <mergeCell ref="B87:B88"/>
    <mergeCell ref="B106:B107"/>
    <mergeCell ref="B108:B109"/>
    <mergeCell ref="B110:B111"/>
    <mergeCell ref="B112:B113"/>
    <mergeCell ref="B114:B115"/>
    <mergeCell ref="F106:I107"/>
    <mergeCell ref="C108:E109"/>
    <mergeCell ref="F108:I109"/>
    <mergeCell ref="AE83:AH84"/>
    <mergeCell ref="B118:B119"/>
    <mergeCell ref="F87:I88"/>
    <mergeCell ref="J87:P88"/>
    <mergeCell ref="X87:AD88"/>
    <mergeCell ref="Q87:R88"/>
    <mergeCell ref="V87:W88"/>
    <mergeCell ref="AE87:AH88"/>
    <mergeCell ref="AI87:AP88"/>
    <mergeCell ref="C118:E119"/>
    <mergeCell ref="F118:I119"/>
    <mergeCell ref="J118:P119"/>
    <mergeCell ref="X118:AD119"/>
    <mergeCell ref="Q118:R119"/>
    <mergeCell ref="V118:W119"/>
    <mergeCell ref="AE118:AH119"/>
    <mergeCell ref="AI118:AP119"/>
    <mergeCell ref="AI114:AP115"/>
    <mergeCell ref="AE114:AH115"/>
    <mergeCell ref="V114:W115"/>
    <mergeCell ref="C110:E111"/>
    <mergeCell ref="F110:I111"/>
    <mergeCell ref="Q112:R113"/>
    <mergeCell ref="C112:E113"/>
    <mergeCell ref="Q116:R117"/>
    <mergeCell ref="C116:E117"/>
    <mergeCell ref="F116:I117"/>
    <mergeCell ref="J116:P117"/>
    <mergeCell ref="X116:AD117"/>
    <mergeCell ref="AI116:AP117"/>
    <mergeCell ref="AE116:AH117"/>
    <mergeCell ref="V116:W117"/>
    <mergeCell ref="J79:P80"/>
    <mergeCell ref="X79:AD80"/>
    <mergeCell ref="Q79:R80"/>
    <mergeCell ref="V79:W80"/>
    <mergeCell ref="AI83:AP84"/>
    <mergeCell ref="V83:W84"/>
    <mergeCell ref="Q83:R84"/>
    <mergeCell ref="C85:E86"/>
    <mergeCell ref="F85:I86"/>
    <mergeCell ref="J85:P86"/>
    <mergeCell ref="X85:AD86"/>
    <mergeCell ref="AE85:AH86"/>
    <mergeCell ref="AI85:AP86"/>
    <mergeCell ref="V85:W86"/>
    <mergeCell ref="Q85:R86"/>
    <mergeCell ref="J83:P84"/>
    <mergeCell ref="Q114:R115"/>
    <mergeCell ref="C114:E115"/>
    <mergeCell ref="F114:I115"/>
    <mergeCell ref="J114:P115"/>
    <mergeCell ref="X114:AD115"/>
    <mergeCell ref="C77:E78"/>
    <mergeCell ref="F77:I78"/>
    <mergeCell ref="C79:E80"/>
    <mergeCell ref="F79:I80"/>
    <mergeCell ref="C81:E82"/>
    <mergeCell ref="F81:I82"/>
    <mergeCell ref="J81:P82"/>
    <mergeCell ref="X81:AD82"/>
    <mergeCell ref="V81:W82"/>
    <mergeCell ref="Q77:R78"/>
    <mergeCell ref="V77:W78"/>
    <mergeCell ref="Q81:R82"/>
    <mergeCell ref="C83:E84"/>
    <mergeCell ref="V112:W113"/>
    <mergeCell ref="Q110:R111"/>
    <mergeCell ref="V110:W111"/>
    <mergeCell ref="J77:P78"/>
    <mergeCell ref="X77:AD78"/>
    <mergeCell ref="X83:AD84"/>
    <mergeCell ref="AI50:AP51"/>
    <mergeCell ref="AI44:AP45"/>
    <mergeCell ref="AE46:AH47"/>
    <mergeCell ref="AE52:AH53"/>
    <mergeCell ref="AI52:AP53"/>
    <mergeCell ref="AE50:AH51"/>
    <mergeCell ref="AI46:AP47"/>
    <mergeCell ref="AI48:AP49"/>
    <mergeCell ref="AE44:AH45"/>
    <mergeCell ref="AE48:AH49"/>
    <mergeCell ref="Q54:R55"/>
    <mergeCell ref="V54:W55"/>
    <mergeCell ref="AE75:AH76"/>
    <mergeCell ref="AI75:AP76"/>
    <mergeCell ref="AI77:AP78"/>
    <mergeCell ref="AE79:AH80"/>
    <mergeCell ref="AI79:AP80"/>
    <mergeCell ref="AE77:AH78"/>
    <mergeCell ref="AE81:AH82"/>
    <mergeCell ref="AI81:AP82"/>
    <mergeCell ref="X54:AD55"/>
    <mergeCell ref="Q75:R76"/>
    <mergeCell ref="V75:W76"/>
    <mergeCell ref="AE54:AH55"/>
    <mergeCell ref="AI54:AP55"/>
    <mergeCell ref="A63:AQ64"/>
    <mergeCell ref="C75:E76"/>
    <mergeCell ref="F75:I76"/>
    <mergeCell ref="J75:P76"/>
    <mergeCell ref="X75:AD76"/>
    <mergeCell ref="C54:E55"/>
    <mergeCell ref="F54:I55"/>
    <mergeCell ref="J54:P55"/>
    <mergeCell ref="C72:D72"/>
    <mergeCell ref="J112:P113"/>
    <mergeCell ref="X112:AD113"/>
    <mergeCell ref="AI106:AP107"/>
    <mergeCell ref="AI112:AP113"/>
    <mergeCell ref="J108:P109"/>
    <mergeCell ref="X108:AD109"/>
    <mergeCell ref="AE108:AH109"/>
    <mergeCell ref="V106:W107"/>
    <mergeCell ref="AE106:AH107"/>
    <mergeCell ref="AE112:AH113"/>
    <mergeCell ref="Q106:R107"/>
    <mergeCell ref="AI110:AP111"/>
    <mergeCell ref="Q108:R109"/>
    <mergeCell ref="AI108:AP109"/>
    <mergeCell ref="V108:W109"/>
    <mergeCell ref="AE110:AH111"/>
    <mergeCell ref="X52:AD53"/>
    <mergeCell ref="F50:I51"/>
    <mergeCell ref="J50:P51"/>
    <mergeCell ref="X50:AD51"/>
    <mergeCell ref="Q46:R47"/>
    <mergeCell ref="V46:W47"/>
    <mergeCell ref="J110:P111"/>
    <mergeCell ref="X110:AD111"/>
    <mergeCell ref="J106:P107"/>
    <mergeCell ref="X106:AD107"/>
    <mergeCell ref="F83:I84"/>
    <mergeCell ref="A94:AQ95"/>
    <mergeCell ref="C56:E57"/>
    <mergeCell ref="F56:I57"/>
    <mergeCell ref="J56:P57"/>
    <mergeCell ref="X56:AD57"/>
    <mergeCell ref="Q56:R57"/>
    <mergeCell ref="V56:W57"/>
    <mergeCell ref="AE56:AH57"/>
    <mergeCell ref="AI56:AP57"/>
    <mergeCell ref="C87:E88"/>
    <mergeCell ref="Q52:R53"/>
    <mergeCell ref="V52:W53"/>
    <mergeCell ref="C106:E107"/>
    <mergeCell ref="Q50:R51"/>
    <mergeCell ref="V50:W51"/>
    <mergeCell ref="C48:E49"/>
    <mergeCell ref="C50:E51"/>
    <mergeCell ref="C52:E53"/>
    <mergeCell ref="F52:I53"/>
    <mergeCell ref="C46:E47"/>
    <mergeCell ref="F46:I47"/>
    <mergeCell ref="J46:P47"/>
    <mergeCell ref="J52:P53"/>
    <mergeCell ref="X46:AD47"/>
    <mergeCell ref="Q48:R49"/>
    <mergeCell ref="V48:W49"/>
    <mergeCell ref="F48:I49"/>
    <mergeCell ref="J48:P49"/>
    <mergeCell ref="X48:AD49"/>
    <mergeCell ref="C15:E16"/>
    <mergeCell ref="F15:I16"/>
    <mergeCell ref="AI13:AP14"/>
    <mergeCell ref="AI15:AP16"/>
    <mergeCell ref="A32:AQ33"/>
    <mergeCell ref="C44:E45"/>
    <mergeCell ref="F44:I45"/>
    <mergeCell ref="J44:P45"/>
    <mergeCell ref="X44:AD45"/>
    <mergeCell ref="Q44:R45"/>
    <mergeCell ref="V44:W45"/>
    <mergeCell ref="C25:E26"/>
    <mergeCell ref="F25:I26"/>
    <mergeCell ref="J25:P26"/>
    <mergeCell ref="X25:AD26"/>
    <mergeCell ref="Q25:R26"/>
    <mergeCell ref="V25:W26"/>
    <mergeCell ref="AE25:AH26"/>
    <mergeCell ref="AI25:AP26"/>
    <mergeCell ref="AE17:AH18"/>
    <mergeCell ref="AI17:AP18"/>
    <mergeCell ref="AI19:AP20"/>
    <mergeCell ref="AE19:AH20"/>
    <mergeCell ref="AI23:AP24"/>
    <mergeCell ref="AE21:AH22"/>
    <mergeCell ref="AE23:AH24"/>
    <mergeCell ref="AI21:AP22"/>
    <mergeCell ref="V21:W22"/>
    <mergeCell ref="V19:W20"/>
    <mergeCell ref="J19:P20"/>
    <mergeCell ref="X19:AD20"/>
    <mergeCell ref="Q17:R18"/>
    <mergeCell ref="V17:W18"/>
    <mergeCell ref="C23:E24"/>
    <mergeCell ref="F23:I24"/>
    <mergeCell ref="J23:P24"/>
    <mergeCell ref="X23:AD24"/>
    <mergeCell ref="Q23:R24"/>
    <mergeCell ref="V23:W24"/>
    <mergeCell ref="Q19:R20"/>
    <mergeCell ref="F19:I20"/>
    <mergeCell ref="Q21:R22"/>
    <mergeCell ref="C17:E18"/>
    <mergeCell ref="F17:I18"/>
    <mergeCell ref="J17:P18"/>
    <mergeCell ref="X17:AD18"/>
    <mergeCell ref="C21:E22"/>
    <mergeCell ref="F21:I22"/>
    <mergeCell ref="J21:P22"/>
    <mergeCell ref="X21:AD22"/>
    <mergeCell ref="C19:E20"/>
    <mergeCell ref="A1:AQ2"/>
    <mergeCell ref="J15:P16"/>
    <mergeCell ref="X15:AD16"/>
    <mergeCell ref="AE15:AH16"/>
    <mergeCell ref="F13:I14"/>
    <mergeCell ref="J13:P14"/>
    <mergeCell ref="X13:AD14"/>
    <mergeCell ref="Q15:R16"/>
    <mergeCell ref="V15:W16"/>
    <mergeCell ref="AE13:AH14"/>
    <mergeCell ref="Q13:R14"/>
    <mergeCell ref="V13:W14"/>
    <mergeCell ref="C13:E14"/>
    <mergeCell ref="B13:B14"/>
    <mergeCell ref="B15:B16"/>
    <mergeCell ref="C10:D10"/>
    <mergeCell ref="E10:N10"/>
    <mergeCell ref="Q10:R10"/>
    <mergeCell ref="S10:AB10"/>
    <mergeCell ref="AE10:AF10"/>
    <mergeCell ref="AG10:AP10"/>
    <mergeCell ref="C12:E12"/>
    <mergeCell ref="F12:I12"/>
    <mergeCell ref="J12:P12"/>
  </mergeCells>
  <phoneticPr fontId="53"/>
  <conditionalFormatting sqref="C5:AP7">
    <cfRule type="expression" dxfId="16" priority="5">
      <formula>IFERROR(COUNTIF($AR$13:$AS$23,C5),"")</formula>
    </cfRule>
  </conditionalFormatting>
  <conditionalFormatting sqref="C36:AP38">
    <cfRule type="expression" dxfId="15" priority="3">
      <formula>IFERROR(COUNTIF($AR$44:$AS$54,C36),"")</formula>
    </cfRule>
  </conditionalFormatting>
  <conditionalFormatting sqref="C67:AP69">
    <cfRule type="expression" dxfId="14" priority="2">
      <formula>IFERROR(COUNTIF($AR$75:$AS$85,C67),"")</formula>
    </cfRule>
  </conditionalFormatting>
  <conditionalFormatting sqref="C98:AP100">
    <cfRule type="expression" dxfId="13" priority="1">
      <formula>IFERROR(COUNTIF($AR$106:$AS$116,C98),"")</formula>
    </cfRule>
  </conditionalFormatting>
  <printOptions horizontalCentered="1" verticalCentered="1"/>
  <pageMargins left="0.39305555555555599" right="0.39305555555555599" top="0.39305555555555599" bottom="0.39305555555555599" header="0.31388888888888899" footer="0.31388888888888899"/>
  <pageSetup paperSize="9" scale="83" pageOrder="overThenDown" orientation="landscape" r:id="rId1"/>
  <rowBreaks count="3" manualBreakCount="3">
    <brk id="31" max="42" man="1"/>
    <brk id="62" max="42" man="1"/>
    <brk id="93" max="42" man="1"/>
  </rowBreaks>
  <colBreaks count="1" manualBreakCount="1">
    <brk id="43" max="1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10</vt:i4>
      </vt:variant>
    </vt:vector>
  </HeadingPairs>
  <TitlesOfParts>
    <vt:vector size="22" baseType="lpstr">
      <vt:lpstr>U12組合せ</vt:lpstr>
      <vt:lpstr>U12対戦スケジュール</vt:lpstr>
      <vt:lpstr>●</vt:lpstr>
      <vt:lpstr>Ａブロック対戦表</vt:lpstr>
      <vt:lpstr>Ａ＋Ｂブロック対戦表</vt:lpstr>
      <vt:lpstr>Ｂブロック対戦表</vt:lpstr>
      <vt:lpstr>Ｃブロック対戦表</vt:lpstr>
      <vt:lpstr>Ｃ＋Ｄブロック対戦表</vt:lpstr>
      <vt:lpstr>Ｄブロック対戦表</vt:lpstr>
      <vt:lpstr>■</vt:lpstr>
      <vt:lpstr>Ａ～Dブロック星取表</vt:lpstr>
      <vt:lpstr>U１2順位 </vt:lpstr>
      <vt:lpstr>■!Print_Area</vt:lpstr>
      <vt:lpstr>'Ａ～Dブロック星取表'!Print_Area</vt:lpstr>
      <vt:lpstr>Ａブロック対戦表!Print_Area</vt:lpstr>
      <vt:lpstr>Ｂブロック対戦表!Print_Area</vt:lpstr>
      <vt:lpstr>'Ｃ＋Ｄブロック対戦表'!Print_Area</vt:lpstr>
      <vt:lpstr>Ｃブロック対戦表!Print_Area</vt:lpstr>
      <vt:lpstr>Ｄブロック対戦表!Print_Area</vt:lpstr>
      <vt:lpstr>'U１2順位 '!Print_Area</vt:lpstr>
      <vt:lpstr>U12組合せ!Print_Area</vt:lpstr>
      <vt:lpstr>U12対戦スケジュール!Print_Area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Ishige</dc:creator>
  <cp:lastModifiedBy>USER</cp:lastModifiedBy>
  <cp:lastPrinted>2019-09-25T19:06:27Z</cp:lastPrinted>
  <dcterms:created xsi:type="dcterms:W3CDTF">2017-04-03T06:48:00Z</dcterms:created>
  <dcterms:modified xsi:type="dcterms:W3CDTF">2019-09-30T12:18:22Z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1041-10.8.0.5727</vt:lpwstr>
  </property>
</Properties>
</file>